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Дума следующая\Заседание Думы Балаганского района 27.01.2020\Дума (1) январь 2020 года правка\"/>
    </mc:Choice>
  </mc:AlternateContent>
  <bookViews>
    <workbookView xWindow="0" yWindow="525" windowWidth="6075" windowHeight="4470" tabRatio="601" activeTab="4"/>
  </bookViews>
  <sheets>
    <sheet name="ИНП" sheetId="40" r:id="rId1"/>
    <sheet name="ИБР" sheetId="37" r:id="rId2"/>
    <sheet name="Дотация 2020 " sheetId="39" r:id="rId3"/>
    <sheet name="прил расчет К" sheetId="41" r:id="rId4"/>
    <sheet name="Дотация 2021" sheetId="42" r:id="rId5"/>
    <sheet name="Дотация 2022" sheetId="43" r:id="rId6"/>
    <sheet name="24" sheetId="34" state="hidden" r:id="rId7"/>
    <sheet name="28" sheetId="32" state="hidden" r:id="rId8"/>
    <sheet name="41" sheetId="36" state="hidden" r:id="rId9"/>
    <sheet name="Оценка ОМСУ" sheetId="44" r:id="rId10"/>
  </sheets>
  <externalReferences>
    <externalReference r:id="rId11"/>
    <externalReference r:id="rId12"/>
  </externalReferences>
  <definedNames>
    <definedName name="_xlnm._FilterDatabase" localSheetId="6" hidden="1">'24'!$A$10:$H$27</definedName>
    <definedName name="_xlnm._FilterDatabase" localSheetId="7" hidden="1">'28'!$A$10:$H$38</definedName>
    <definedName name="_xlnm._FilterDatabase" localSheetId="8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6">#REF!</definedName>
    <definedName name="Data1" localSheetId="7">#REF!</definedName>
    <definedName name="Data1" localSheetId="8">#REF!</definedName>
    <definedName name="Data1" localSheetId="2">#REF!</definedName>
    <definedName name="Data1" localSheetId="4">#REF!</definedName>
    <definedName name="Data1" localSheetId="5">#REF!</definedName>
    <definedName name="Data1">#REF!</definedName>
    <definedName name="Data2" localSheetId="6">#REF!</definedName>
    <definedName name="Data2" localSheetId="7">#REF!</definedName>
    <definedName name="Data2" localSheetId="8">#REF!</definedName>
    <definedName name="Data2" localSheetId="2">#REF!</definedName>
    <definedName name="Data2" localSheetId="4">#REF!</definedName>
    <definedName name="Data2" localSheetId="5">#REF!</definedName>
    <definedName name="Data2">#REF!</definedName>
    <definedName name="Data3" localSheetId="6">#REF!</definedName>
    <definedName name="Data3" localSheetId="7">#REF!</definedName>
    <definedName name="Data3" localSheetId="8">#REF!</definedName>
    <definedName name="Data3" localSheetId="2">#REF!</definedName>
    <definedName name="Data3" localSheetId="4">#REF!</definedName>
    <definedName name="Data3" localSheetId="5">#REF!</definedName>
    <definedName name="Data3">#REF!</definedName>
    <definedName name="Economy1" localSheetId="6">#REF!</definedName>
    <definedName name="Economy1" localSheetId="7">#REF!</definedName>
    <definedName name="Economy1" localSheetId="8">#REF!</definedName>
    <definedName name="Economy1" localSheetId="2">#REF!</definedName>
    <definedName name="Economy1" localSheetId="4">#REF!</definedName>
    <definedName name="Economy1" localSheetId="5">#REF!</definedName>
    <definedName name="Economy1">#REF!</definedName>
    <definedName name="Economy2" localSheetId="6">#REF!</definedName>
    <definedName name="Economy2" localSheetId="7">#REF!</definedName>
    <definedName name="Economy2" localSheetId="8">#REF!</definedName>
    <definedName name="Economy2" localSheetId="2">#REF!</definedName>
    <definedName name="Economy2" localSheetId="4">#REF!</definedName>
    <definedName name="Economy2" localSheetId="5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6">[2]Вспомогательный!#REF!</definedName>
    <definedName name="taxes" localSheetId="7">[2]Вспомогательный!#REF!</definedName>
    <definedName name="taxes" localSheetId="8">[2]Вспомогательный!#REF!</definedName>
    <definedName name="taxes" localSheetId="2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>[2]Вспомогательный!#REF!</definedName>
    <definedName name="_xlnm.Print_Area" localSheetId="6">'24'!$A$1:$H$27</definedName>
    <definedName name="_xlnm.Print_Area" localSheetId="7">'28'!$A$1:$H$38</definedName>
    <definedName name="_xlnm.Print_Area" localSheetId="8">'41'!$A$1:$G$40</definedName>
  </definedNames>
  <calcPr calcId="162913"/>
</workbook>
</file>

<file path=xl/calcChain.xml><?xml version="1.0" encoding="utf-8"?>
<calcChain xmlns="http://schemas.openxmlformats.org/spreadsheetml/2006/main">
  <c r="J7" i="43" l="1"/>
  <c r="J7" i="42"/>
  <c r="J7" i="39"/>
  <c r="H7" i="37" l="1"/>
  <c r="G11" i="44" l="1"/>
  <c r="H11" i="44" s="1"/>
  <c r="I11" i="44" s="1"/>
  <c r="G9" i="44"/>
  <c r="H9" i="44" s="1"/>
  <c r="G7" i="44"/>
  <c r="H7" i="44" s="1"/>
  <c r="I7" i="44" s="1"/>
  <c r="G5" i="44"/>
  <c r="F11" i="44"/>
  <c r="F10" i="44"/>
  <c r="G10" i="44" s="1"/>
  <c r="H10" i="44" s="1"/>
  <c r="I10" i="44" s="1"/>
  <c r="F9" i="44"/>
  <c r="F8" i="44"/>
  <c r="G8" i="44" s="1"/>
  <c r="H8" i="44" s="1"/>
  <c r="I8" i="44" s="1"/>
  <c r="F7" i="44"/>
  <c r="F6" i="44"/>
  <c r="G6" i="44" s="1"/>
  <c r="F5" i="44"/>
  <c r="E12" i="44"/>
  <c r="D12" i="44"/>
  <c r="C12" i="44"/>
  <c r="H6" i="44" l="1"/>
  <c r="I6" i="44" s="1"/>
  <c r="H5" i="44"/>
  <c r="I5" i="44" s="1"/>
  <c r="I12" i="44" s="1"/>
  <c r="I9" i="44"/>
  <c r="G12" i="44"/>
  <c r="F12" i="44"/>
  <c r="C14" i="43"/>
  <c r="C13" i="43"/>
  <c r="C12" i="43"/>
  <c r="C11" i="43"/>
  <c r="C10" i="43"/>
  <c r="C9" i="43"/>
  <c r="C8" i="43"/>
  <c r="G7" i="43"/>
  <c r="C14" i="42"/>
  <c r="C13" i="42"/>
  <c r="C12" i="42"/>
  <c r="C11" i="42"/>
  <c r="C10" i="42"/>
  <c r="C9" i="42"/>
  <c r="C8" i="42"/>
  <c r="G7" i="42"/>
  <c r="H10" i="37"/>
  <c r="C13" i="41"/>
  <c r="D12" i="41" s="1"/>
  <c r="E12" i="41" s="1"/>
  <c r="B11" i="37"/>
  <c r="B12" i="37"/>
  <c r="B13" i="37"/>
  <c r="B14" i="37"/>
  <c r="B15" i="37"/>
  <c r="B16" i="37"/>
  <c r="H12" i="44" l="1"/>
  <c r="C7" i="42"/>
  <c r="A7" i="43"/>
  <c r="A7" i="42"/>
  <c r="C7" i="43"/>
  <c r="D8" i="41"/>
  <c r="D9" i="41"/>
  <c r="D6" i="41"/>
  <c r="D10" i="41"/>
  <c r="D7" i="41"/>
  <c r="D11" i="41"/>
  <c r="D4" i="40"/>
  <c r="E10" i="41" l="1"/>
  <c r="G10" i="41" s="1"/>
  <c r="E7" i="41"/>
  <c r="G7" i="41" s="1"/>
  <c r="E8" i="41"/>
  <c r="G8" i="41" s="1"/>
  <c r="E6" i="41"/>
  <c r="G6" i="41" s="1"/>
  <c r="E11" i="41"/>
  <c r="G11" i="41" s="1"/>
  <c r="E9" i="41"/>
  <c r="G9" i="41" s="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F15" i="40"/>
  <c r="E15" i="40"/>
  <c r="D15" i="40"/>
  <c r="C15" i="40"/>
  <c r="G22" i="40" l="1"/>
  <c r="S16" i="40"/>
  <c r="O17" i="40"/>
  <c r="O20" i="40"/>
  <c r="M16" i="40"/>
  <c r="N18" i="40"/>
  <c r="O23" i="40"/>
  <c r="N20" i="40"/>
  <c r="M18" i="40"/>
  <c r="M21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G16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X15" i="40" l="1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G15" i="40"/>
  <c r="AC17" i="40"/>
  <c r="AB21" i="40"/>
  <c r="AC18" i="40"/>
  <c r="AB18" i="40"/>
  <c r="AB23" i="40"/>
  <c r="AB16" i="40"/>
  <c r="AC15" i="40" l="1"/>
  <c r="AI20" i="40" s="1"/>
  <c r="D12" i="43" s="1"/>
  <c r="AB15" i="40"/>
  <c r="AH16" i="40" s="1"/>
  <c r="D8" i="42" s="1"/>
  <c r="AA15" i="40"/>
  <c r="AH23" i="40" l="1"/>
  <c r="AG16" i="40"/>
  <c r="D8" i="39" s="1"/>
  <c r="AI24" i="40"/>
  <c r="AI19" i="40"/>
  <c r="D11" i="43" s="1"/>
  <c r="AI21" i="40"/>
  <c r="D13" i="43" s="1"/>
  <c r="AI23" i="40"/>
  <c r="AI22" i="40"/>
  <c r="D14" i="43" s="1"/>
  <c r="AI17" i="40"/>
  <c r="D9" i="43" s="1"/>
  <c r="AH17" i="40"/>
  <c r="D9" i="42" s="1"/>
  <c r="AH20" i="40"/>
  <c r="D12" i="42" s="1"/>
  <c r="AH24" i="40"/>
  <c r="AH22" i="40"/>
  <c r="D14" i="42" s="1"/>
  <c r="AH19" i="40"/>
  <c r="D11" i="42" s="1"/>
  <c r="AH21" i="40"/>
  <c r="D13" i="42" s="1"/>
  <c r="AI18" i="40"/>
  <c r="D10" i="43" s="1"/>
  <c r="AH18" i="40"/>
  <c r="D10" i="42" s="1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D8" i="43" s="1"/>
  <c r="C9" i="39" l="1"/>
  <c r="C10" i="39"/>
  <c r="C11" i="39"/>
  <c r="C12" i="39"/>
  <c r="C13" i="39"/>
  <c r="C14" i="39"/>
  <c r="C8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G6" i="36"/>
  <c r="H10" i="36"/>
  <c r="E14" i="39" l="1"/>
  <c r="F14" i="39" s="1"/>
  <c r="H14" i="39" s="1"/>
  <c r="I14" i="39" s="1"/>
  <c r="K14" i="39" s="1"/>
  <c r="E14" i="43"/>
  <c r="F14" i="43" s="1"/>
  <c r="H14" i="43" s="1"/>
  <c r="I14" i="43" s="1"/>
  <c r="K14" i="43" s="1"/>
  <c r="E14" i="42"/>
  <c r="F14" i="42" s="1"/>
  <c r="H14" i="42" s="1"/>
  <c r="I14" i="42" s="1"/>
  <c r="K14" i="42" s="1"/>
  <c r="E9" i="39"/>
  <c r="F9" i="39" s="1"/>
  <c r="H9" i="39" s="1"/>
  <c r="I9" i="39" s="1"/>
  <c r="K9" i="39" s="1"/>
  <c r="E9" i="43"/>
  <c r="F9" i="43" s="1"/>
  <c r="H9" i="43" s="1"/>
  <c r="I9" i="43" s="1"/>
  <c r="K9" i="43" s="1"/>
  <c r="E9" i="42"/>
  <c r="F9" i="42" s="1"/>
  <c r="H9" i="42" s="1"/>
  <c r="I9" i="42" s="1"/>
  <c r="K9" i="42" s="1"/>
  <c r="E13" i="39"/>
  <c r="F13" i="39" s="1"/>
  <c r="H13" i="39" s="1"/>
  <c r="I13" i="39" s="1"/>
  <c r="K13" i="39" s="1"/>
  <c r="E13" i="43"/>
  <c r="F13" i="43" s="1"/>
  <c r="H13" i="43" s="1"/>
  <c r="I13" i="43" s="1"/>
  <c r="K13" i="43" s="1"/>
  <c r="E13" i="42"/>
  <c r="F13" i="42" s="1"/>
  <c r="H13" i="42" s="1"/>
  <c r="I13" i="42" s="1"/>
  <c r="K13" i="42" s="1"/>
  <c r="E8" i="39"/>
  <c r="F8" i="39" s="1"/>
  <c r="H8" i="39" s="1"/>
  <c r="I8" i="39" s="1"/>
  <c r="K8" i="39" s="1"/>
  <c r="E8" i="42"/>
  <c r="F8" i="42" s="1"/>
  <c r="H8" i="42" s="1"/>
  <c r="I8" i="42" s="1"/>
  <c r="K8" i="42" s="1"/>
  <c r="E8" i="43"/>
  <c r="F8" i="43" s="1"/>
  <c r="H8" i="43" s="1"/>
  <c r="I8" i="43" s="1"/>
  <c r="K8" i="43" s="1"/>
  <c r="E11" i="39"/>
  <c r="F11" i="39" s="1"/>
  <c r="H11" i="39" s="1"/>
  <c r="I11" i="39" s="1"/>
  <c r="K11" i="39" s="1"/>
  <c r="E11" i="43"/>
  <c r="F11" i="43" s="1"/>
  <c r="H11" i="43" s="1"/>
  <c r="I11" i="43" s="1"/>
  <c r="K11" i="43" s="1"/>
  <c r="E11" i="42"/>
  <c r="F11" i="42" s="1"/>
  <c r="H11" i="42" s="1"/>
  <c r="I11" i="42" s="1"/>
  <c r="K11" i="42" s="1"/>
  <c r="E10" i="39"/>
  <c r="F10" i="39" s="1"/>
  <c r="H10" i="39" s="1"/>
  <c r="I10" i="39" s="1"/>
  <c r="K10" i="39" s="1"/>
  <c r="E10" i="43"/>
  <c r="F10" i="43" s="1"/>
  <c r="H10" i="43" s="1"/>
  <c r="I10" i="43" s="1"/>
  <c r="K10" i="43" s="1"/>
  <c r="E10" i="42"/>
  <c r="F10" i="42" s="1"/>
  <c r="H10" i="42" s="1"/>
  <c r="I10" i="42" s="1"/>
  <c r="K10" i="42" s="1"/>
  <c r="E12" i="39"/>
  <c r="F12" i="39" s="1"/>
  <c r="H12" i="39" s="1"/>
  <c r="I12" i="39" s="1"/>
  <c r="K12" i="39" s="1"/>
  <c r="E12" i="42"/>
  <c r="F12" i="42" s="1"/>
  <c r="H12" i="42" s="1"/>
  <c r="I12" i="42" s="1"/>
  <c r="K12" i="42" s="1"/>
  <c r="E12" i="43"/>
  <c r="F12" i="43" s="1"/>
  <c r="H12" i="43" s="1"/>
  <c r="I12" i="43" s="1"/>
  <c r="K12" i="43" s="1"/>
  <c r="H16" i="36"/>
  <c r="I7" i="39" l="1"/>
  <c r="K7" i="39" s="1"/>
  <c r="I7" i="43"/>
  <c r="K7" i="43" s="1"/>
  <c r="I7" i="42"/>
  <c r="K7" i="42" s="1"/>
  <c r="T40" i="36"/>
  <c r="P40" i="36"/>
  <c r="U40" i="36" s="1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U38" i="36" s="1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U34" i="36" s="1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T9" i="36"/>
  <c r="S9" i="36"/>
  <c r="K9" i="36"/>
  <c r="G9" i="36"/>
  <c r="F9" i="36"/>
  <c r="E9" i="36"/>
  <c r="D9" i="36"/>
  <c r="C9" i="36"/>
  <c r="A9" i="36"/>
  <c r="J9" i="36" l="1"/>
  <c r="N10" i="36" s="1"/>
  <c r="N12" i="36"/>
  <c r="O13" i="36"/>
  <c r="N14" i="36"/>
  <c r="O15" i="36"/>
  <c r="O16" i="36"/>
  <c r="N17" i="36"/>
  <c r="N18" i="36"/>
  <c r="O19" i="36"/>
  <c r="N20" i="36"/>
  <c r="O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O11" i="36"/>
  <c r="M10" i="36"/>
  <c r="I9" i="36"/>
  <c r="M11" i="36" s="1"/>
  <c r="O10" i="36"/>
  <c r="H9" i="36"/>
  <c r="L12" i="36" s="1"/>
  <c r="N11" i="36"/>
  <c r="M12" i="36"/>
  <c r="O12" i="36"/>
  <c r="L13" i="36"/>
  <c r="N13" i="36"/>
  <c r="M14" i="36"/>
  <c r="O14" i="36"/>
  <c r="L15" i="36"/>
  <c r="N15" i="36"/>
  <c r="N16" i="36"/>
  <c r="M17" i="36"/>
  <c r="O17" i="36"/>
  <c r="M18" i="36"/>
  <c r="O18" i="36"/>
  <c r="N19" i="36"/>
  <c r="M20" i="36"/>
  <c r="O20" i="36"/>
  <c r="N21" i="36"/>
  <c r="M22" i="36"/>
  <c r="O22" i="36"/>
  <c r="M23" i="36"/>
  <c r="O23" i="36"/>
  <c r="M24" i="36"/>
  <c r="O24" i="36"/>
  <c r="M25" i="36"/>
  <c r="O25" i="36"/>
  <c r="M26" i="36"/>
  <c r="O26" i="36"/>
  <c r="M27" i="36"/>
  <c r="O27" i="36"/>
  <c r="M28" i="36"/>
  <c r="O28" i="36"/>
  <c r="M29" i="36"/>
  <c r="O29" i="36"/>
  <c r="M30" i="36"/>
  <c r="O30" i="36"/>
  <c r="M31" i="36"/>
  <c r="O31" i="36"/>
  <c r="M32" i="36"/>
  <c r="O32" i="36"/>
  <c r="M33" i="36"/>
  <c r="O33" i="36"/>
  <c r="M34" i="36"/>
  <c r="O34" i="36"/>
  <c r="M35" i="36"/>
  <c r="O35" i="36"/>
  <c r="M36" i="36"/>
  <c r="O36" i="36"/>
  <c r="M37" i="36"/>
  <c r="O37" i="36"/>
  <c r="M38" i="36"/>
  <c r="O38" i="36"/>
  <c r="M39" i="36"/>
  <c r="O39" i="36"/>
  <c r="M40" i="36"/>
  <c r="O40" i="36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L21" i="36" l="1"/>
  <c r="L19" i="36"/>
  <c r="P12" i="36"/>
  <c r="U12" i="36" s="1"/>
  <c r="V12" i="36" s="1"/>
  <c r="L11" i="36"/>
  <c r="P11" i="36" s="1"/>
  <c r="U11" i="36" s="1"/>
  <c r="V11" i="36" s="1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M21" i="36"/>
  <c r="L20" i="36"/>
  <c r="M19" i="36"/>
  <c r="P19" i="36" s="1"/>
  <c r="U19" i="36" s="1"/>
  <c r="V19" i="36" s="1"/>
  <c r="L18" i="36"/>
  <c r="L17" i="36"/>
  <c r="P17" i="36" s="1"/>
  <c r="U17" i="36" s="1"/>
  <c r="V17" i="36" s="1"/>
  <c r="M16" i="36"/>
  <c r="M15" i="36"/>
  <c r="L14" i="36"/>
  <c r="P14" i="36" s="1"/>
  <c r="M13" i="36"/>
  <c r="P13" i="36" s="1"/>
  <c r="U13" i="36" s="1"/>
  <c r="V13" i="36" s="1"/>
  <c r="P21" i="36"/>
  <c r="U21" i="36" s="1"/>
  <c r="V21" i="36" s="1"/>
  <c r="P20" i="36"/>
  <c r="U20" i="36" s="1"/>
  <c r="V20" i="36" s="1"/>
  <c r="L10" i="36"/>
  <c r="P10" i="36" s="1"/>
  <c r="U10" i="36" s="1"/>
  <c r="V10" i="36" s="1"/>
  <c r="L16" i="36"/>
  <c r="P18" i="36"/>
  <c r="U18" i="36" s="1"/>
  <c r="V18" i="36" s="1"/>
  <c r="P15" i="36"/>
  <c r="U15" i="36" s="1"/>
  <c r="V15" i="36" s="1"/>
  <c r="U14" i="36"/>
  <c r="V14" i="36" s="1"/>
  <c r="P16" i="36" l="1"/>
  <c r="U16" i="36" s="1"/>
  <c r="V16" i="36" s="1"/>
  <c r="V9" i="36" s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6" i="32" l="1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M19" i="32" s="1"/>
  <c r="H25" i="32"/>
  <c r="L25" i="32" s="1"/>
  <c r="M25" i="32" s="1"/>
  <c r="H30" i="32"/>
  <c r="L30" i="32" s="1"/>
  <c r="M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M17" i="32" s="1"/>
  <c r="H22" i="32"/>
  <c r="L22" i="32" s="1"/>
  <c r="M22" i="32" s="1"/>
  <c r="H27" i="32"/>
  <c r="L27" i="32" s="1"/>
  <c r="M27" i="32" s="1"/>
  <c r="H33" i="32"/>
  <c r="L33" i="32" s="1"/>
  <c r="M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<sst xmlns="http://schemas.openxmlformats.org/spreadsheetml/2006/main" count="313" uniqueCount="184">
  <si>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</si>
  <si>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</si>
  <si>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</si>
  <si>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</si>
  <si>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</si>
  <si>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</si>
  <si>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</si>
  <si>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</si>
  <si>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</si>
  <si>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</si>
  <si>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</si>
  <si>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</si>
  <si>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</si>
  <si>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</si>
  <si>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</si>
  <si>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</si>
  <si>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</si>
  <si>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</si>
  <si>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</si>
  <si>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</si>
  <si>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</si>
  <si>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</si>
  <si>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</si>
  <si>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</si>
  <si>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</si>
  <si>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</si>
  <si>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</si>
  <si>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</si>
  <si>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</si>
  <si>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</si>
  <si>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</si>
  <si>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</si>
  <si>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</si>
  <si>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</si>
  <si>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</si>
  <si>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</si>
  <si>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</si>
  <si>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</si>
  <si>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</si>
  <si>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</si>
  <si>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</si>
  <si>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</si>
  <si>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</si>
  <si>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</si>
  <si>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</si>
  <si>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</si>
  <si>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</si>
  <si>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</si>
  <si>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</si>
  <si>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</si>
  <si>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</si>
  <si>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</si>
  <si>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</si>
  <si>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</si>
  <si>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</si>
  <si>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</si>
  <si>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</si>
  <si>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</si>
  <si>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</si>
  <si>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</si>
  <si>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</si>
  <si>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</si>
  <si>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</si>
  <si>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</si>
  <si>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</si>
  <si>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</si>
  <si>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</si>
  <si>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</si>
  <si>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</si>
  <si>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</si>
  <si>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</si>
  <si>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</si>
  <si>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</si>
  <si>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</si>
  <si>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</si>
  <si>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</si>
  <si>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</si>
  <si>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</si>
  <si>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</si>
  <si>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</si>
  <si>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</si>
  <si>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</si>
  <si>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</si>
  <si>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</si>
  <si>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</si>
  <si>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</si>
  <si>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</si>
  <si>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</si>
  <si>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</si>
  <si>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</si>
  <si>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</si>
  <si>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</si>
  <si>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</si>
  <si>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</si>
  <si>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</si>
  <si>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</si>
  <si>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</si>
  <si>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</si>
  <si>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</si>
  <si>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</si>
  <si>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</si>
  <si>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</si>
  <si>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</si>
  <si>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</si>
  <si>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</si>
  <si>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</si>
  <si>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</si>
  <si>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</si>
  <si>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</si>
  <si>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</si>
  <si>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</si>
  <si>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</si>
  <si>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</si>
  <si>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</si>
  <si>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</si>
  <si>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</si>
  <si>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</si>
  <si>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</si>
  <si>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</si>
  <si>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</si>
  <si>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на 01.01.2019</t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</si>
  <si>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</si>
  <si>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</si>
  <si>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</si>
  <si>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</si>
  <si>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</si>
  <si>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</si>
  <si>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</si>
  <si>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</si>
  <si>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</si>
  <si>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</si>
  <si>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</si>
  <si>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</si>
  <si>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</si>
  <si>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</si>
  <si>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</si>
  <si>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</si>
  <si>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</si>
  <si>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</si>
  <si>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</si>
  <si>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</si>
  <si>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Фонд оплаты труда 2018г.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</si>
  <si>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</si>
  <si>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</si>
  <si>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</si>
  <si>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</si>
  <si>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</si>
  <si>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</si>
  <si>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2020 - 2022 годы, в соответствии с п.11 Приложения 9 к Закону Иркутской области от 22.10.2013 №74-оз</t>
  </si>
  <si>
    <t>(млн. руб)</t>
  </si>
  <si>
    <t>Балаганск</t>
  </si>
  <si>
    <t>Бирит</t>
  </si>
  <si>
    <t>Заславск</t>
  </si>
  <si>
    <t>Коновалово</t>
  </si>
  <si>
    <t>Кумарейка</t>
  </si>
  <si>
    <t>Тарнополь</t>
  </si>
  <si>
    <t>Шарагай</t>
  </si>
  <si>
    <t>ИТОГО</t>
  </si>
  <si>
    <t>Председатель предст органа</t>
  </si>
  <si>
    <t>депутат предст органа</t>
  </si>
  <si>
    <t>мун служащие</t>
  </si>
  <si>
    <t>ФОТ</t>
  </si>
  <si>
    <t>начисления 30,2%</t>
  </si>
  <si>
    <t>иные расходы 0,2</t>
  </si>
  <si>
    <t>итого</t>
  </si>
  <si>
    <t>Оценка расходов поселений на содержание ОМСУ согласно письма министерства труда и занятости населения Иркутской области от 17.10.2019 года №02-74-6884/ «О нормативах формирования расходов на оплату труда».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</si>
  <si>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</si>
  <si>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</si>
  <si>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</si>
  <si>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</si>
  <si>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</si>
  <si>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</si>
  <si>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РАСЧЕТ ДОТАЦИИ НА ВЫРАВНИВАНИЕ БЮДЖЕТНОЙ ОБЕСПЕЧЕННОСТИ ПОСЕЛЕНИЙ  на 2020 год</t>
  </si>
  <si>
    <t>Приложение 3</t>
  </si>
  <si>
    <t>РАСЧЕТ ДОТАЦИИ НА ВЫРАВНИВАНИЕ БЮДЖЕТНОЙ ОБЕСПЕЧЕННОСТИ ПОСЕЛЕНИЙ на 2021 год</t>
  </si>
  <si>
    <t>Приложение 4</t>
  </si>
  <si>
    <t>РАСЧЕТ ДОТАЦИИ НА ВЫРАВНИВАНИЕ БЮДЖЕТНОЙ ОБЕСПЕЧЕННОСТИ ПОСЕЛЕНИЙ на 2022 год</t>
  </si>
  <si>
    <t>Приложение 1</t>
  </si>
  <si>
    <t>Приложение 2</t>
  </si>
  <si>
    <t>Приложение 5</t>
  </si>
  <si>
    <t>приложение 6</t>
  </si>
  <si>
    <t>Приложение 7</t>
  </si>
  <si>
    <t>Утверждено в бюджете</t>
  </si>
  <si>
    <t>к уточнению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</si>
</sst>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р_._-;\-* #,##0.00_р_._-;_-* &quot;-&quot;??_р_._-;_-@_-"/>
    <numFmt numFmtId="164" formatCode="#,##0.000"/>
    <numFmt numFmtId="165" formatCode="\$#,##0\ ;\(\$#,##0\)"/>
    <numFmt numFmtId="166" formatCode="0.0000"/>
    <numFmt numFmtId="167" formatCode="#,##0.0000_ ;[Red]\-#,##0.0000\ "/>
    <numFmt numFmtId="168" formatCode="0.0"/>
    <numFmt numFmtId="169" formatCode="#,##0.0"/>
    <numFmt numFmtId="170" formatCode="0.0000000000000"/>
    <numFmt numFmtId="171" formatCode="_-* #,##0.0_р_._-;\-* #,##0.0_р_._-;_-* &quot;-&quot;??_р_._-;_-@_-"/>
    <numFmt numFmtId="172" formatCode="0.000000"/>
    <numFmt numFmtId="173" formatCode="0.00000000"/>
    <numFmt numFmtId="174" formatCode="0.0000000"/>
    <numFmt numFmtId="175" formatCode="#,##0.00000"/>
    <numFmt numFmtId="176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10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4" fontId="44" fillId="2" borderId="12" xfId="9" applyNumberFormat="1" applyFont="1" applyFill="1" applyBorder="1" applyAlignment="1">
      <alignment horizontal="center"/>
    </xf>
    <xf numFmtId="164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6" fontId="43" fillId="25" borderId="1" xfId="9" applyNumberFormat="1" applyFont="1" applyFill="1" applyBorder="1" applyAlignment="1">
      <alignment horizontal="right" shrinkToFit="1"/>
    </xf>
    <xf numFmtId="168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7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8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69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69" fontId="59" fillId="0" borderId="1" xfId="9" applyNumberFormat="1" applyFont="1" applyFill="1" applyBorder="1" applyAlignment="1">
      <alignment shrinkToFit="1"/>
    </xf>
    <xf numFmtId="164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4" fontId="43" fillId="26" borderId="12" xfId="9" applyNumberFormat="1" applyFont="1" applyFill="1" applyBorder="1" applyAlignment="1" applyProtection="1">
      <alignment horizontal="center"/>
      <protection locked="0"/>
    </xf>
    <xf numFmtId="164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4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0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1" fontId="74" fillId="27" borderId="0" xfId="13" applyNumberFormat="1" applyFont="1" applyFill="1" applyBorder="1" applyAlignment="1">
      <alignment vertical="center"/>
    </xf>
    <xf numFmtId="172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3" fontId="6" fillId="0" borderId="0" xfId="13" applyNumberFormat="1"/>
    <xf numFmtId="175" fontId="58" fillId="27" borderId="1" xfId="9" applyNumberFormat="1" applyFont="1" applyFill="1" applyBorder="1" applyAlignment="1" applyProtection="1">
      <alignment shrinkToFit="1"/>
      <protection locked="0"/>
    </xf>
    <xf numFmtId="164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69" fontId="59" fillId="2" borderId="1" xfId="9" applyNumberFormat="1" applyFont="1" applyFill="1" applyBorder="1" applyAlignment="1">
      <alignment horizontal="center" shrinkToFit="1"/>
    </xf>
    <xf numFmtId="169" fontId="58" fillId="27" borderId="1" xfId="9" applyNumberFormat="1" applyFont="1" applyFill="1" applyBorder="1" applyAlignment="1" applyProtection="1">
      <alignment shrinkToFit="1"/>
      <protection locked="0"/>
    </xf>
    <xf numFmtId="176" fontId="6" fillId="26" borderId="1" xfId="13" applyNumberFormat="1" applyFill="1" applyBorder="1" applyAlignment="1">
      <alignment vertical="center"/>
    </xf>
    <xf numFmtId="176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6" fontId="83" fillId="0" borderId="1" xfId="13" applyNumberFormat="1" applyFont="1" applyBorder="1"/>
    <xf numFmtId="0" fontId="83" fillId="2" borderId="1" xfId="13" applyFont="1" applyFill="1" applyBorder="1"/>
    <xf numFmtId="166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6" fontId="83" fillId="31" borderId="1" xfId="13" applyNumberFormat="1" applyFont="1" applyFill="1" applyBorder="1"/>
    <xf numFmtId="174" fontId="83" fillId="31" borderId="1" xfId="13" applyNumberFormat="1" applyFont="1" applyFill="1" applyBorder="1"/>
    <xf numFmtId="0" fontId="83" fillId="0" borderId="0" xfId="13" applyFont="1"/>
    <xf numFmtId="173" fontId="83" fillId="0" borderId="0" xfId="13" applyNumberFormat="1" applyFont="1"/>
    <xf numFmtId="0" fontId="58" fillId="0" borderId="1" xfId="0" applyFont="1" applyBorder="1"/>
    <xf numFmtId="0" fontId="59" fillId="0" borderId="1" xfId="0" applyFont="1" applyBorder="1" applyAlignment="1">
      <alignment wrapText="1"/>
    </xf>
    <xf numFmtId="169" fontId="58" fillId="0" borderId="1" xfId="0" applyNumberFormat="1" applyFont="1" applyBorder="1"/>
    <xf numFmtId="169" fontId="59" fillId="0" borderId="1" xfId="0" applyNumberFormat="1" applyFont="1" applyBorder="1"/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3" fillId="27" borderId="1" xfId="13" applyFont="1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75" fillId="27" borderId="1" xfId="13" applyFont="1" applyFill="1" applyBorder="1" applyAlignment="1">
      <alignment horizontal="center" vertical="center" wrapText="1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gov.%20Relations/Stavropolsky%20Kr/Project%202005/Models/&#1056;&#1072;&#1081;&#1086;&#1085;&#1085;&#1099;&#1077;%20&#1060;&#1060;&#1055;&#1055;/new/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214_1/LOCALS~1/Temp/Rar$DI84.5235/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3" ySplit="14" topLeftCell="D15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3" width="10.42578125" style="70" customWidth="1"/>
    <col min="34" max="35" width="9.140625" style="70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66" t="s">
        <v>177</v>
      </c>
      <c r="AH1" s="166"/>
      <c r="AI1" s="166"/>
    </row>
    <row r="2" spans="1:38" s="68" customFormat="1" ht="26.25" customHeight="1" x14ac:dyDescent="0.2">
      <c r="B2" s="176" t="s">
        <v>106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8" s="68" customFormat="1" ht="26.25" customHeight="1" x14ac:dyDescent="0.2">
      <c r="B3" s="180" t="s">
        <v>128</v>
      </c>
      <c r="C3" s="181"/>
      <c r="D3" s="71">
        <v>2020</v>
      </c>
      <c r="E3" s="71">
        <v>2021</v>
      </c>
      <c r="F3" s="71">
        <v>2022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82"/>
      <c r="C4" s="183"/>
      <c r="D4" s="99">
        <f>G9+M9+R9+X9</f>
        <v>14767.6</v>
      </c>
      <c r="E4" s="99">
        <f t="shared" ref="E4" si="0">H9+N9+S9+Y9</f>
        <v>14930.3</v>
      </c>
      <c r="F4" s="99">
        <f>I9+O9+T9+Z9</f>
        <v>14977.9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7" spans="1:38" ht="45" customHeight="1" x14ac:dyDescent="0.2">
      <c r="B7" s="177" t="s">
        <v>107</v>
      </c>
      <c r="C7" s="167" t="s">
        <v>108</v>
      </c>
      <c r="D7" s="167" t="s">
        <v>108</v>
      </c>
      <c r="E7" s="167" t="s">
        <v>108</v>
      </c>
      <c r="F7" s="167" t="s">
        <v>108</v>
      </c>
      <c r="G7" s="185"/>
      <c r="H7" s="185"/>
      <c r="I7" s="185"/>
      <c r="J7" s="167" t="s">
        <v>108</v>
      </c>
      <c r="K7" s="167" t="s">
        <v>108</v>
      </c>
      <c r="L7" s="167" t="s">
        <v>108</v>
      </c>
      <c r="M7" s="184"/>
      <c r="N7" s="184"/>
      <c r="O7" s="184"/>
      <c r="P7" s="167" t="s">
        <v>108</v>
      </c>
      <c r="Q7" s="167" t="s">
        <v>108</v>
      </c>
      <c r="R7" s="172"/>
      <c r="S7" s="172"/>
      <c r="T7" s="172"/>
      <c r="U7" s="167" t="s">
        <v>108</v>
      </c>
      <c r="V7" s="167" t="s">
        <v>108</v>
      </c>
      <c r="W7" s="167" t="s">
        <v>108</v>
      </c>
      <c r="X7" s="184"/>
      <c r="Y7" s="184"/>
      <c r="Z7" s="184"/>
    </row>
    <row r="8" spans="1:38" x14ac:dyDescent="0.2">
      <c r="B8" s="177"/>
      <c r="C8" s="167"/>
      <c r="D8" s="167"/>
      <c r="E8" s="167"/>
      <c r="F8" s="167"/>
      <c r="G8" s="71">
        <v>2020</v>
      </c>
      <c r="H8" s="71">
        <v>2021</v>
      </c>
      <c r="I8" s="71">
        <v>2022</v>
      </c>
      <c r="J8" s="167"/>
      <c r="K8" s="167"/>
      <c r="L8" s="167"/>
      <c r="M8" s="71">
        <v>2020</v>
      </c>
      <c r="N8" s="71">
        <v>2021</v>
      </c>
      <c r="O8" s="71">
        <v>2022</v>
      </c>
      <c r="P8" s="167"/>
      <c r="Q8" s="167"/>
      <c r="R8" s="71">
        <v>2020</v>
      </c>
      <c r="S8" s="71">
        <v>2021</v>
      </c>
      <c r="T8" s="71">
        <v>2022</v>
      </c>
      <c r="U8" s="167"/>
      <c r="V8" s="167"/>
      <c r="W8" s="167"/>
      <c r="X8" s="71">
        <v>2020</v>
      </c>
      <c r="Y8" s="71">
        <v>2021</v>
      </c>
      <c r="Z8" s="71">
        <v>2022</v>
      </c>
    </row>
    <row r="9" spans="1:38" ht="45.75" customHeight="1" x14ac:dyDescent="0.2">
      <c r="B9" s="177"/>
      <c r="C9" s="167"/>
      <c r="D9" s="167"/>
      <c r="E9" s="167"/>
      <c r="F9" s="167"/>
      <c r="G9" s="72">
        <v>7160.6</v>
      </c>
      <c r="H9" s="72">
        <v>7200.3</v>
      </c>
      <c r="I9" s="72">
        <v>7244.9</v>
      </c>
      <c r="J9" s="167"/>
      <c r="K9" s="167"/>
      <c r="L9" s="167"/>
      <c r="M9" s="72">
        <v>10</v>
      </c>
      <c r="N9" s="72">
        <v>10</v>
      </c>
      <c r="O9" s="72">
        <v>11</v>
      </c>
      <c r="P9" s="167"/>
      <c r="Q9" s="167"/>
      <c r="R9" s="72">
        <v>1821</v>
      </c>
      <c r="S9" s="72">
        <v>1931</v>
      </c>
      <c r="T9" s="72">
        <v>1931</v>
      </c>
      <c r="U9" s="167"/>
      <c r="V9" s="167"/>
      <c r="W9" s="167"/>
      <c r="X9" s="72">
        <v>5776</v>
      </c>
      <c r="Y9" s="72">
        <v>5789</v>
      </c>
      <c r="Z9" s="72">
        <v>5791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78" t="s">
        <v>109</v>
      </c>
      <c r="B12" s="178" t="s">
        <v>110</v>
      </c>
      <c r="C12" s="78" t="s">
        <v>111</v>
      </c>
      <c r="D12" s="163" t="s">
        <v>112</v>
      </c>
      <c r="E12" s="164"/>
      <c r="F12" s="164"/>
      <c r="G12" s="164"/>
      <c r="H12" s="164"/>
      <c r="I12" s="165"/>
      <c r="J12" s="163" t="s">
        <v>113</v>
      </c>
      <c r="K12" s="164"/>
      <c r="L12" s="164"/>
      <c r="M12" s="164"/>
      <c r="N12" s="164"/>
      <c r="O12" s="165"/>
      <c r="P12" s="163" t="s">
        <v>114</v>
      </c>
      <c r="Q12" s="164"/>
      <c r="R12" s="164"/>
      <c r="S12" s="164"/>
      <c r="T12" s="165"/>
      <c r="U12" s="163" t="s">
        <v>115</v>
      </c>
      <c r="V12" s="164"/>
      <c r="W12" s="164"/>
      <c r="X12" s="164"/>
      <c r="Y12" s="164"/>
      <c r="Z12" s="165"/>
      <c r="AA12" s="168" t="s">
        <v>116</v>
      </c>
      <c r="AB12" s="168"/>
      <c r="AC12" s="169"/>
      <c r="AD12" s="173" t="s">
        <v>117</v>
      </c>
      <c r="AE12" s="168"/>
      <c r="AF12" s="169"/>
      <c r="AG12" s="175" t="s">
        <v>118</v>
      </c>
      <c r="AH12" s="175"/>
      <c r="AI12" s="175"/>
    </row>
    <row r="13" spans="1:38" s="74" customFormat="1" ht="28.5" customHeight="1" x14ac:dyDescent="0.2">
      <c r="A13" s="178"/>
      <c r="B13" s="178"/>
      <c r="C13" s="79" t="s">
        <v>119</v>
      </c>
      <c r="D13" s="80"/>
      <c r="E13" s="81"/>
      <c r="F13" s="81"/>
      <c r="G13" s="160"/>
      <c r="H13" s="161"/>
      <c r="I13" s="162"/>
      <c r="J13" s="80"/>
      <c r="K13" s="81"/>
      <c r="L13" s="81"/>
      <c r="M13" s="160"/>
      <c r="N13" s="161"/>
      <c r="O13" s="162"/>
      <c r="P13" s="80"/>
      <c r="Q13" s="81"/>
      <c r="R13" s="160"/>
      <c r="S13" s="161"/>
      <c r="T13" s="162"/>
      <c r="U13" s="80"/>
      <c r="V13" s="81"/>
      <c r="W13" s="81"/>
      <c r="X13" s="160"/>
      <c r="Y13" s="161"/>
      <c r="Z13" s="162"/>
      <c r="AA13" s="170"/>
      <c r="AB13" s="170"/>
      <c r="AC13" s="171"/>
      <c r="AD13" s="174"/>
      <c r="AE13" s="170"/>
      <c r="AF13" s="171"/>
      <c r="AG13" s="175"/>
      <c r="AH13" s="175"/>
      <c r="AI13" s="175"/>
    </row>
    <row r="14" spans="1:38" ht="38.25" x14ac:dyDescent="0.2">
      <c r="A14" s="178"/>
      <c r="B14" s="178"/>
      <c r="C14" s="79" t="s">
        <v>120</v>
      </c>
      <c r="D14" s="82" t="s">
        <v>121</v>
      </c>
      <c r="E14" s="83" t="s">
        <v>122</v>
      </c>
      <c r="F14" s="84" t="s">
        <v>123</v>
      </c>
      <c r="G14" s="71">
        <v>2020</v>
      </c>
      <c r="H14" s="71">
        <v>2021</v>
      </c>
      <c r="I14" s="85">
        <v>2022</v>
      </c>
      <c r="J14" s="82" t="s">
        <v>124</v>
      </c>
      <c r="K14" s="83" t="s">
        <v>125</v>
      </c>
      <c r="L14" s="84" t="s">
        <v>126</v>
      </c>
      <c r="M14" s="71">
        <v>2020</v>
      </c>
      <c r="N14" s="71">
        <v>2021</v>
      </c>
      <c r="O14" s="85">
        <v>2022</v>
      </c>
      <c r="P14" s="82" t="s">
        <v>124</v>
      </c>
      <c r="Q14" s="83" t="s">
        <v>125</v>
      </c>
      <c r="R14" s="71">
        <v>2020</v>
      </c>
      <c r="S14" s="71">
        <v>2021</v>
      </c>
      <c r="T14" s="85">
        <v>2022</v>
      </c>
      <c r="U14" s="82" t="s">
        <v>124</v>
      </c>
      <c r="V14" s="83" t="s">
        <v>125</v>
      </c>
      <c r="W14" s="84" t="s">
        <v>126</v>
      </c>
      <c r="X14" s="71">
        <v>2020</v>
      </c>
      <c r="Y14" s="71">
        <v>2021</v>
      </c>
      <c r="Z14" s="85">
        <v>2022</v>
      </c>
      <c r="AA14" s="86">
        <v>2020</v>
      </c>
      <c r="AB14" s="71">
        <v>2021</v>
      </c>
      <c r="AC14" s="71">
        <v>2022</v>
      </c>
      <c r="AD14" s="71">
        <v>2020</v>
      </c>
      <c r="AE14" s="71">
        <v>2021</v>
      </c>
      <c r="AF14" s="71">
        <v>2022</v>
      </c>
      <c r="AG14" s="71">
        <v>2020</v>
      </c>
      <c r="AH14" s="71">
        <v>2021</v>
      </c>
      <c r="AI14" s="71">
        <v>2022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8451</v>
      </c>
      <c r="D15" s="89">
        <f t="shared" si="1"/>
        <v>63356</v>
      </c>
      <c r="E15" s="88">
        <f t="shared" si="1"/>
        <v>73468</v>
      </c>
      <c r="F15" s="88">
        <f t="shared" si="1"/>
        <v>36885</v>
      </c>
      <c r="G15" s="88">
        <f t="shared" si="1"/>
        <v>7160.6000000000013</v>
      </c>
      <c r="H15" s="88">
        <f t="shared" si="1"/>
        <v>7200.2999999999993</v>
      </c>
      <c r="I15" s="90">
        <f t="shared" si="1"/>
        <v>7244.8999999999987</v>
      </c>
      <c r="J15" s="89">
        <f t="shared" si="1"/>
        <v>55</v>
      </c>
      <c r="K15" s="88">
        <f t="shared" si="1"/>
        <v>21</v>
      </c>
      <c r="L15" s="88">
        <f t="shared" si="1"/>
        <v>21</v>
      </c>
      <c r="M15" s="88">
        <f t="shared" si="1"/>
        <v>10</v>
      </c>
      <c r="N15" s="88">
        <f t="shared" si="1"/>
        <v>10</v>
      </c>
      <c r="O15" s="90">
        <f t="shared" si="1"/>
        <v>11</v>
      </c>
      <c r="P15" s="89">
        <f t="shared" si="1"/>
        <v>1624</v>
      </c>
      <c r="Q15" s="88">
        <f t="shared" si="1"/>
        <v>1325</v>
      </c>
      <c r="R15" s="88">
        <f t="shared" si="1"/>
        <v>1821.0000000000002</v>
      </c>
      <c r="S15" s="88">
        <f t="shared" si="1"/>
        <v>1931.0000000000005</v>
      </c>
      <c r="T15" s="90">
        <f t="shared" si="1"/>
        <v>1931.0000000000005</v>
      </c>
      <c r="U15" s="89">
        <f t="shared" si="1"/>
        <v>5240</v>
      </c>
      <c r="V15" s="88">
        <f t="shared" si="1"/>
        <v>5550</v>
      </c>
      <c r="W15" s="88">
        <f t="shared" si="1"/>
        <v>3181</v>
      </c>
      <c r="X15" s="88">
        <f t="shared" si="1"/>
        <v>5776</v>
      </c>
      <c r="Y15" s="88">
        <f t="shared" si="1"/>
        <v>5788.9999999999991</v>
      </c>
      <c r="Z15" s="90">
        <f t="shared" si="1"/>
        <v>5791</v>
      </c>
      <c r="AA15" s="91">
        <f t="shared" si="1"/>
        <v>14767.599999999999</v>
      </c>
      <c r="AB15" s="88">
        <f t="shared" si="1"/>
        <v>14930.300000000001</v>
      </c>
      <c r="AC15" s="88">
        <f t="shared" si="1"/>
        <v>14977.899999999998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133</v>
      </c>
      <c r="C16" s="96">
        <v>3844</v>
      </c>
      <c r="D16" s="97">
        <v>50819</v>
      </c>
      <c r="E16" s="98">
        <v>57343</v>
      </c>
      <c r="F16" s="72">
        <v>27366</v>
      </c>
      <c r="G16" s="99">
        <f t="shared" ref="G16:G24" si="2">$G$9*((0.3*D16/$D$15)+(0.35*E16/$E$15)+(0.35*F16/$F$15))</f>
        <v>5538.6593819225773</v>
      </c>
      <c r="H16" s="99">
        <f t="shared" ref="H16:H24" si="3">$H$9*((0.3*D16/$D$15)+(0.35*E16/$E$15)+(0.35*F16/$F$15))</f>
        <v>5569.3669731107912</v>
      </c>
      <c r="I16" s="100">
        <f t="shared" ref="I16:I24" si="4">$I$9*((0.3*D16/$D$15)+(0.35*E16/$E$15)+(0.35*F16/$F$15))</f>
        <v>5603.8646700124118</v>
      </c>
      <c r="J16" s="97">
        <v>6</v>
      </c>
      <c r="K16" s="98">
        <v>0</v>
      </c>
      <c r="L16" s="98">
        <v>0</v>
      </c>
      <c r="M16" s="101">
        <f t="shared" ref="M16:M24" si="5">$M$9*((0.3*J16/$J$15)+(0.35*K16/$K$15)+(0.35*L16/$L$15))</f>
        <v>0.32727272727272722</v>
      </c>
      <c r="N16" s="101">
        <f t="shared" ref="N16:N24" si="6">$N$9*((0.3*J16/$J$15)+(0.35*K16/$K$15)+(0.35*L16/$L$15))</f>
        <v>0.32727272727272722</v>
      </c>
      <c r="O16" s="102">
        <f t="shared" ref="O16:O24" si="7">$O$9*((0.3*J16/$J$15)+(0.35*K16/$K$15)+(0.35*L16/$L$15))</f>
        <v>0.35999999999999993</v>
      </c>
      <c r="P16" s="97">
        <v>1138</v>
      </c>
      <c r="Q16" s="98">
        <v>991</v>
      </c>
      <c r="R16" s="119">
        <f t="shared" ref="R16:R24" si="8">$R$9*((0.45*P16/$P$15)+(0.55*Q16/$Q$15))</f>
        <v>1323.3043162468632</v>
      </c>
      <c r="S16" s="119">
        <f t="shared" ref="S16:S24" si="9">$S$9*((0.45*P16/$P$15)+(0.55*Q16/$Q$15))</f>
        <v>1403.2403265638072</v>
      </c>
      <c r="T16" s="119">
        <f t="shared" ref="T16:T24" si="10">$T$9*((0.45*P16/$P$15)+(0.55*Q16/$Q$15))</f>
        <v>1403.2403265638072</v>
      </c>
      <c r="U16" s="97">
        <v>2858</v>
      </c>
      <c r="V16" s="98">
        <v>3083</v>
      </c>
      <c r="W16" s="98">
        <v>1935</v>
      </c>
      <c r="X16" s="101">
        <f t="shared" ref="X16:X24" si="11">$X$9*((0.3*U16/$U$15)+(0.35*V16/$V$15)+(0.35*W16/$W$15))</f>
        <v>3297.8310234402088</v>
      </c>
      <c r="Y16" s="101">
        <f t="shared" ref="Y16:Y24" si="12">$Y$9*((0.3*U16/$U$15)+(0.35*V16/$V$15)+(0.35*W16/$W$15))</f>
        <v>3305.2534270594474</v>
      </c>
      <c r="Z16" s="102">
        <f t="shared" ref="Z16:Z24" si="13">$Z$9*((0.3*U16/$U$15)+(0.35*V16/$V$15)+(0.35*W16/$W$15))</f>
        <v>3306.3953353085608</v>
      </c>
      <c r="AA16" s="104">
        <f>G16+M16+X16+R16</f>
        <v>10160.121994336921</v>
      </c>
      <c r="AB16" s="99">
        <f>H16+N16+Y16+S16</f>
        <v>10278.187999461319</v>
      </c>
      <c r="AC16" s="99">
        <f>I16+O16+Z16+T16</f>
        <v>10313.86033188478</v>
      </c>
      <c r="AD16" s="131">
        <v>0.69589999999999996</v>
      </c>
      <c r="AE16" s="131">
        <v>0.69589999999999996</v>
      </c>
      <c r="AF16" s="131">
        <v>0.69589999999999996</v>
      </c>
      <c r="AG16" s="103">
        <f>AA16/C16*$C$15/$AA$15*AD16</f>
        <v>1.0525932033596286</v>
      </c>
      <c r="AH16" s="103">
        <f>AB16/C16*$C$15/$AB$15*AE16</f>
        <v>1.0532211752301919</v>
      </c>
      <c r="AI16" s="103">
        <f>AC16/C16*$C$15/$AC$15*AF16</f>
        <v>1.0535178018212406</v>
      </c>
      <c r="AK16" s="105"/>
      <c r="AL16" s="105"/>
    </row>
    <row r="17" spans="1:48" ht="15.75" x14ac:dyDescent="0.25">
      <c r="A17" s="94">
        <v>2</v>
      </c>
      <c r="B17" s="95" t="s">
        <v>134</v>
      </c>
      <c r="C17" s="96">
        <v>520</v>
      </c>
      <c r="D17" s="97">
        <v>1910</v>
      </c>
      <c r="E17" s="98">
        <v>2456</v>
      </c>
      <c r="F17" s="72">
        <v>1420</v>
      </c>
      <c r="G17" s="99">
        <f t="shared" si="2"/>
        <v>245.02696558043277</v>
      </c>
      <c r="H17" s="99">
        <f t="shared" si="3"/>
        <v>246.38545097740274</v>
      </c>
      <c r="I17" s="100">
        <f t="shared" si="4"/>
        <v>247.91160837551004</v>
      </c>
      <c r="J17" s="97">
        <v>0</v>
      </c>
      <c r="K17" s="98">
        <v>5</v>
      </c>
      <c r="L17" s="98">
        <v>10</v>
      </c>
      <c r="M17" s="101">
        <f t="shared" si="5"/>
        <v>2.5</v>
      </c>
      <c r="N17" s="101">
        <f t="shared" si="6"/>
        <v>2.5</v>
      </c>
      <c r="O17" s="102">
        <f t="shared" si="7"/>
        <v>2.75</v>
      </c>
      <c r="P17" s="97">
        <v>19</v>
      </c>
      <c r="Q17" s="98">
        <v>14</v>
      </c>
      <c r="R17" s="119">
        <f t="shared" si="8"/>
        <v>20.169576424388886</v>
      </c>
      <c r="S17" s="119">
        <f t="shared" si="9"/>
        <v>21.3879473231713</v>
      </c>
      <c r="T17" s="119">
        <f t="shared" si="10"/>
        <v>21.3879473231713</v>
      </c>
      <c r="U17" s="97">
        <v>551</v>
      </c>
      <c r="V17" s="98">
        <v>426</v>
      </c>
      <c r="W17" s="98">
        <v>99</v>
      </c>
      <c r="X17" s="101">
        <f t="shared" si="11"/>
        <v>400.2968276882799</v>
      </c>
      <c r="Y17" s="101">
        <f t="shared" si="12"/>
        <v>401.19777276444813</v>
      </c>
      <c r="Z17" s="102">
        <f t="shared" si="13"/>
        <v>401.33637969924325</v>
      </c>
      <c r="AA17" s="104">
        <f t="shared" ref="AA17:AC24" si="14">G17+M17+X17+R17</f>
        <v>667.99336969310161</v>
      </c>
      <c r="AB17" s="99">
        <f t="shared" si="14"/>
        <v>671.47117106502208</v>
      </c>
      <c r="AC17" s="99">
        <f t="shared" si="14"/>
        <v>673.38593539792453</v>
      </c>
      <c r="AD17" s="131">
        <v>4.1399999999999999E-2</v>
      </c>
      <c r="AE17" s="131">
        <v>4.1399999999999999E-2</v>
      </c>
      <c r="AF17" s="131">
        <v>4.1399999999999999E-2</v>
      </c>
      <c r="AG17" s="103">
        <f t="shared" ref="AG17:AG24" si="15">AA17/C17*$C$15/$AA$15*AD17</f>
        <v>3.0434581246111946E-2</v>
      </c>
      <c r="AH17" s="103">
        <f t="shared" ref="AH17:AH24" si="16">AB17/C17*$C$15/$AB$15*AE17</f>
        <v>3.0259652503267589E-2</v>
      </c>
      <c r="AI17" s="103">
        <f t="shared" ref="AI17:AI24" si="17">AC17/C17*$C$15/$AC$15*AF17</f>
        <v>3.0249500925977283E-2</v>
      </c>
      <c r="AK17" s="105"/>
      <c r="AL17" s="105"/>
    </row>
    <row r="18" spans="1:48" ht="15.75" x14ac:dyDescent="0.25">
      <c r="A18" s="94">
        <v>3</v>
      </c>
      <c r="B18" s="95" t="s">
        <v>135</v>
      </c>
      <c r="C18" s="96">
        <v>945</v>
      </c>
      <c r="D18" s="97">
        <v>2465</v>
      </c>
      <c r="E18" s="98">
        <v>3089</v>
      </c>
      <c r="F18" s="72">
        <v>1827</v>
      </c>
      <c r="G18" s="99">
        <f t="shared" si="2"/>
        <v>313.09282917856422</v>
      </c>
      <c r="H18" s="99">
        <f t="shared" si="3"/>
        <v>314.82868725168504</v>
      </c>
      <c r="I18" s="100">
        <f t="shared" si="4"/>
        <v>316.7787948099014</v>
      </c>
      <c r="J18" s="97">
        <v>0</v>
      </c>
      <c r="K18" s="98">
        <v>0</v>
      </c>
      <c r="L18" s="98">
        <v>0</v>
      </c>
      <c r="M18" s="101">
        <f t="shared" si="5"/>
        <v>0</v>
      </c>
      <c r="N18" s="101">
        <f t="shared" si="6"/>
        <v>0</v>
      </c>
      <c r="O18" s="102">
        <f t="shared" si="7"/>
        <v>0</v>
      </c>
      <c r="P18" s="97">
        <v>127</v>
      </c>
      <c r="Q18" s="98">
        <v>66</v>
      </c>
      <c r="R18" s="119">
        <f t="shared" si="8"/>
        <v>113.97113298168975</v>
      </c>
      <c r="S18" s="119">
        <f t="shared" si="9"/>
        <v>120.85571542429594</v>
      </c>
      <c r="T18" s="119">
        <f t="shared" si="10"/>
        <v>120.85571542429594</v>
      </c>
      <c r="U18" s="97">
        <v>520</v>
      </c>
      <c r="V18" s="98">
        <v>622</v>
      </c>
      <c r="W18" s="98">
        <v>374</v>
      </c>
      <c r="X18" s="101">
        <f t="shared" si="11"/>
        <v>636.20791200451947</v>
      </c>
      <c r="Y18" s="101">
        <f t="shared" si="12"/>
        <v>637.63982039372638</v>
      </c>
      <c r="Z18" s="102">
        <f t="shared" si="13"/>
        <v>637.86011399206586</v>
      </c>
      <c r="AA18" s="104">
        <f t="shared" si="14"/>
        <v>1063.2718741647734</v>
      </c>
      <c r="AB18" s="99">
        <f t="shared" si="14"/>
        <v>1073.3242230697074</v>
      </c>
      <c r="AC18" s="99">
        <f t="shared" si="14"/>
        <v>1075.4946242262633</v>
      </c>
      <c r="AD18" s="131">
        <v>4.41E-2</v>
      </c>
      <c r="AE18" s="131">
        <v>4.41E-2</v>
      </c>
      <c r="AF18" s="131">
        <v>4.41E-2</v>
      </c>
      <c r="AG18" s="103">
        <f t="shared" si="15"/>
        <v>2.8395484827128538E-2</v>
      </c>
      <c r="AH18" s="103">
        <f t="shared" si="16"/>
        <v>2.8351580818485312E-2</v>
      </c>
      <c r="AI18" s="103">
        <f t="shared" si="17"/>
        <v>2.8318627437915446E-2</v>
      </c>
      <c r="AK18" s="105"/>
      <c r="AL18" s="105"/>
    </row>
    <row r="19" spans="1:48" ht="15.75" x14ac:dyDescent="0.25">
      <c r="A19" s="94">
        <v>4</v>
      </c>
      <c r="B19" s="95" t="s">
        <v>136</v>
      </c>
      <c r="C19" s="96">
        <v>883</v>
      </c>
      <c r="D19" s="97">
        <v>2037</v>
      </c>
      <c r="E19" s="98">
        <v>2705</v>
      </c>
      <c r="F19" s="72">
        <v>1584</v>
      </c>
      <c r="G19" s="99">
        <f t="shared" si="2"/>
        <v>268.9704553715161</v>
      </c>
      <c r="H19" s="99">
        <f t="shared" si="3"/>
        <v>270.4616889382911</v>
      </c>
      <c r="I19" s="100">
        <f t="shared" si="4"/>
        <v>272.13697904101565</v>
      </c>
      <c r="J19" s="97">
        <v>7</v>
      </c>
      <c r="K19" s="98">
        <v>12</v>
      </c>
      <c r="L19" s="98">
        <v>7</v>
      </c>
      <c r="M19" s="101">
        <f t="shared" si="5"/>
        <v>3.5484848484848479</v>
      </c>
      <c r="N19" s="101">
        <f t="shared" si="6"/>
        <v>3.5484848484848479</v>
      </c>
      <c r="O19" s="102">
        <f t="shared" si="7"/>
        <v>3.9033333333333329</v>
      </c>
      <c r="P19" s="97">
        <v>127</v>
      </c>
      <c r="Q19" s="98">
        <v>95</v>
      </c>
      <c r="R19" s="119">
        <f t="shared" si="8"/>
        <v>135.89184996282185</v>
      </c>
      <c r="S19" s="119">
        <f t="shared" si="9"/>
        <v>144.10058334882424</v>
      </c>
      <c r="T19" s="119">
        <f t="shared" si="10"/>
        <v>144.10058334882424</v>
      </c>
      <c r="U19" s="97">
        <v>372</v>
      </c>
      <c r="V19" s="98">
        <v>310</v>
      </c>
      <c r="W19" s="98">
        <v>102</v>
      </c>
      <c r="X19" s="101">
        <f t="shared" si="11"/>
        <v>300.75715958870626</v>
      </c>
      <c r="Y19" s="101">
        <f t="shared" si="12"/>
        <v>301.43407147836228</v>
      </c>
      <c r="Z19" s="102">
        <f t="shared" si="13"/>
        <v>301.5382117690786</v>
      </c>
      <c r="AA19" s="104">
        <f t="shared" si="14"/>
        <v>709.16794977152904</v>
      </c>
      <c r="AB19" s="99">
        <f t="shared" si="14"/>
        <v>719.54482861396252</v>
      </c>
      <c r="AC19" s="99">
        <f t="shared" si="14"/>
        <v>721.67910749225177</v>
      </c>
      <c r="AD19" s="131">
        <v>3.6999999999999998E-2</v>
      </c>
      <c r="AE19" s="131">
        <v>3.6999999999999998E-2</v>
      </c>
      <c r="AF19" s="131">
        <v>3.6999999999999998E-2</v>
      </c>
      <c r="AG19" s="103">
        <f t="shared" si="15"/>
        <v>1.7005456767773462E-2</v>
      </c>
      <c r="AH19" s="103">
        <f t="shared" si="16"/>
        <v>1.7066263398436934E-2</v>
      </c>
      <c r="AI19" s="103">
        <f t="shared" si="17"/>
        <v>1.7062486792785971E-2</v>
      </c>
      <c r="AK19" s="105"/>
      <c r="AL19" s="105"/>
    </row>
    <row r="20" spans="1:48" ht="15.75" x14ac:dyDescent="0.25">
      <c r="A20" s="94">
        <v>5</v>
      </c>
      <c r="B20" s="95" t="s">
        <v>137</v>
      </c>
      <c r="C20" s="96">
        <v>953</v>
      </c>
      <c r="D20" s="97">
        <v>2319</v>
      </c>
      <c r="E20" s="98">
        <v>2894</v>
      </c>
      <c r="F20" s="72">
        <v>1727</v>
      </c>
      <c r="G20" s="99">
        <f t="shared" si="2"/>
        <v>294.69579690518719</v>
      </c>
      <c r="H20" s="99">
        <f t="shared" si="3"/>
        <v>296.32965763433504</v>
      </c>
      <c r="I20" s="100">
        <f t="shared" si="4"/>
        <v>298.16517875574539</v>
      </c>
      <c r="J20" s="97">
        <v>0</v>
      </c>
      <c r="K20" s="98">
        <v>0</v>
      </c>
      <c r="L20" s="98">
        <v>0</v>
      </c>
      <c r="M20" s="101">
        <f t="shared" si="5"/>
        <v>0</v>
      </c>
      <c r="N20" s="101">
        <f t="shared" si="6"/>
        <v>0</v>
      </c>
      <c r="O20" s="102">
        <f t="shared" si="7"/>
        <v>0</v>
      </c>
      <c r="P20" s="97">
        <v>45</v>
      </c>
      <c r="Q20" s="98">
        <v>14</v>
      </c>
      <c r="R20" s="119">
        <f t="shared" si="8"/>
        <v>33.288849823403659</v>
      </c>
      <c r="S20" s="119">
        <f t="shared" si="9"/>
        <v>35.299708406915137</v>
      </c>
      <c r="T20" s="119">
        <f t="shared" si="10"/>
        <v>35.299708406915137</v>
      </c>
      <c r="U20" s="97">
        <v>259</v>
      </c>
      <c r="V20" s="98">
        <v>257</v>
      </c>
      <c r="W20" s="98">
        <v>160</v>
      </c>
      <c r="X20" s="101">
        <f t="shared" si="11"/>
        <v>280.94451500941921</v>
      </c>
      <c r="Y20" s="101">
        <f t="shared" si="12"/>
        <v>281.57683472810385</v>
      </c>
      <c r="Z20" s="102">
        <f t="shared" si="13"/>
        <v>281.67411468482453</v>
      </c>
      <c r="AA20" s="104">
        <f t="shared" si="14"/>
        <v>608.92916173801007</v>
      </c>
      <c r="AB20" s="99">
        <f t="shared" si="14"/>
        <v>613.20620076935404</v>
      </c>
      <c r="AC20" s="99">
        <f t="shared" si="14"/>
        <v>615.13900184748502</v>
      </c>
      <c r="AD20" s="131">
        <v>3.5400000000000001E-2</v>
      </c>
      <c r="AE20" s="131">
        <v>3.5400000000000001E-2</v>
      </c>
      <c r="AF20" s="131">
        <v>3.5400000000000001E-2</v>
      </c>
      <c r="AG20" s="103">
        <f t="shared" si="15"/>
        <v>1.2944203013833642E-2</v>
      </c>
      <c r="AH20" s="103">
        <f t="shared" si="16"/>
        <v>1.2893073742934745E-2</v>
      </c>
      <c r="AI20" s="103">
        <f t="shared" si="17"/>
        <v>1.2892608649307401E-2</v>
      </c>
      <c r="AK20" s="105"/>
      <c r="AL20" s="105"/>
    </row>
    <row r="21" spans="1:48" ht="15.75" x14ac:dyDescent="0.25">
      <c r="A21" s="94">
        <v>6</v>
      </c>
      <c r="B21" s="95" t="s">
        <v>138</v>
      </c>
      <c r="C21" s="96">
        <v>801</v>
      </c>
      <c r="D21" s="97">
        <v>2319</v>
      </c>
      <c r="E21" s="98">
        <v>3047</v>
      </c>
      <c r="F21" s="72">
        <v>1747</v>
      </c>
      <c r="G21" s="99">
        <f t="shared" si="2"/>
        <v>301.27400963170538</v>
      </c>
      <c r="H21" s="99">
        <f t="shared" si="3"/>
        <v>302.94434147294476</v>
      </c>
      <c r="I21" s="100">
        <f t="shared" si="4"/>
        <v>304.82083517871996</v>
      </c>
      <c r="J21" s="97">
        <v>42</v>
      </c>
      <c r="K21" s="98">
        <v>4</v>
      </c>
      <c r="L21" s="98">
        <v>4</v>
      </c>
      <c r="M21" s="101">
        <f t="shared" si="5"/>
        <v>3.624242424242424</v>
      </c>
      <c r="N21" s="101">
        <f t="shared" si="6"/>
        <v>3.624242424242424</v>
      </c>
      <c r="O21" s="102">
        <f t="shared" si="7"/>
        <v>3.9866666666666668</v>
      </c>
      <c r="P21" s="97">
        <v>84</v>
      </c>
      <c r="Q21" s="98">
        <v>62</v>
      </c>
      <c r="R21" s="119">
        <f t="shared" si="8"/>
        <v>89.25032595966168</v>
      </c>
      <c r="S21" s="119">
        <f t="shared" si="9"/>
        <v>94.641614183474303</v>
      </c>
      <c r="T21" s="119">
        <f t="shared" si="10"/>
        <v>94.641614183474303</v>
      </c>
      <c r="U21" s="97">
        <v>385</v>
      </c>
      <c r="V21" s="98">
        <v>560</v>
      </c>
      <c r="W21" s="98">
        <v>350</v>
      </c>
      <c r="X21" s="101">
        <f t="shared" si="11"/>
        <v>553.72896218588289</v>
      </c>
      <c r="Y21" s="101">
        <f t="shared" si="12"/>
        <v>554.9752358196115</v>
      </c>
      <c r="Z21" s="102">
        <f t="shared" si="13"/>
        <v>555.16697022480048</v>
      </c>
      <c r="AA21" s="104">
        <f t="shared" si="14"/>
        <v>947.87754020149237</v>
      </c>
      <c r="AB21" s="99">
        <f t="shared" si="14"/>
        <v>956.18543390027298</v>
      </c>
      <c r="AC21" s="99">
        <f t="shared" si="14"/>
        <v>958.61608625366148</v>
      </c>
      <c r="AD21" s="131">
        <v>4.7E-2</v>
      </c>
      <c r="AE21" s="131">
        <v>4.7E-2</v>
      </c>
      <c r="AF21" s="131">
        <v>4.7E-2</v>
      </c>
      <c r="AG21" s="103">
        <f t="shared" si="15"/>
        <v>3.1828469523558001E-2</v>
      </c>
      <c r="AH21" s="103">
        <f t="shared" si="16"/>
        <v>3.1757553096211588E-2</v>
      </c>
      <c r="AI21" s="103">
        <f t="shared" si="17"/>
        <v>3.1737099202287511E-2</v>
      </c>
      <c r="AK21" s="105"/>
      <c r="AL21" s="105"/>
    </row>
    <row r="22" spans="1:48" ht="15.75" x14ac:dyDescent="0.25">
      <c r="A22" s="94">
        <v>7</v>
      </c>
      <c r="B22" s="95" t="s">
        <v>139</v>
      </c>
      <c r="C22" s="96">
        <v>505</v>
      </c>
      <c r="D22" s="97">
        <v>1487</v>
      </c>
      <c r="E22" s="98">
        <v>1934</v>
      </c>
      <c r="F22" s="72">
        <v>1214</v>
      </c>
      <c r="G22" s="99">
        <f t="shared" si="2"/>
        <v>198.88056141001721</v>
      </c>
      <c r="H22" s="99">
        <f t="shared" si="3"/>
        <v>199.98320061455004</v>
      </c>
      <c r="I22" s="100">
        <f t="shared" si="4"/>
        <v>201.22193382669519</v>
      </c>
      <c r="J22" s="97">
        <v>0</v>
      </c>
      <c r="K22" s="98">
        <v>0</v>
      </c>
      <c r="L22" s="98">
        <v>0</v>
      </c>
      <c r="M22" s="101">
        <f t="shared" si="5"/>
        <v>0</v>
      </c>
      <c r="N22" s="101">
        <f t="shared" si="6"/>
        <v>0</v>
      </c>
      <c r="O22" s="102">
        <f t="shared" si="7"/>
        <v>0</v>
      </c>
      <c r="P22" s="97">
        <v>84</v>
      </c>
      <c r="Q22" s="98">
        <v>83</v>
      </c>
      <c r="R22" s="119">
        <f t="shared" si="8"/>
        <v>105.12394860117112</v>
      </c>
      <c r="S22" s="119">
        <f t="shared" si="9"/>
        <v>111.47410474951204</v>
      </c>
      <c r="T22" s="119">
        <f t="shared" si="10"/>
        <v>111.47410474951204</v>
      </c>
      <c r="U22" s="97">
        <v>295</v>
      </c>
      <c r="V22" s="98">
        <v>292</v>
      </c>
      <c r="W22" s="98">
        <v>161</v>
      </c>
      <c r="X22" s="101">
        <f t="shared" si="11"/>
        <v>306.23360008298357</v>
      </c>
      <c r="Y22" s="101">
        <f t="shared" si="12"/>
        <v>306.92283775630057</v>
      </c>
      <c r="Z22" s="102">
        <f t="shared" si="13"/>
        <v>307.02887432142626</v>
      </c>
      <c r="AA22" s="104">
        <f t="shared" si="14"/>
        <v>610.23811009417193</v>
      </c>
      <c r="AB22" s="99">
        <f t="shared" si="14"/>
        <v>618.38014312036262</v>
      </c>
      <c r="AC22" s="99">
        <f t="shared" si="14"/>
        <v>619.72491289763343</v>
      </c>
      <c r="AD22" s="131">
        <v>3.8399999999999997E-2</v>
      </c>
      <c r="AE22" s="131">
        <v>3.8399999999999997E-2</v>
      </c>
      <c r="AF22" s="131">
        <v>3.8399999999999997E-2</v>
      </c>
      <c r="AG22" s="103">
        <f t="shared" si="15"/>
        <v>2.6554452643958389E-2</v>
      </c>
      <c r="AH22" s="103">
        <f t="shared" si="16"/>
        <v>2.6615519604487072E-2</v>
      </c>
      <c r="AI22" s="103">
        <f t="shared" si="17"/>
        <v>2.6588630968925157E-2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2"/>
        <v>0</v>
      </c>
      <c r="H23" s="99">
        <f t="shared" si="3"/>
        <v>0</v>
      </c>
      <c r="I23" s="100">
        <f t="shared" si="4"/>
        <v>0</v>
      </c>
      <c r="J23" s="97"/>
      <c r="K23" s="98"/>
      <c r="L23" s="98"/>
      <c r="M23" s="101">
        <f t="shared" si="5"/>
        <v>0</v>
      </c>
      <c r="N23" s="101">
        <f t="shared" si="6"/>
        <v>0</v>
      </c>
      <c r="O23" s="102">
        <f t="shared" si="7"/>
        <v>0</v>
      </c>
      <c r="P23" s="97"/>
      <c r="Q23" s="98"/>
      <c r="R23" s="119">
        <f t="shared" si="8"/>
        <v>0</v>
      </c>
      <c r="S23" s="119">
        <f t="shared" si="9"/>
        <v>0</v>
      </c>
      <c r="T23" s="119">
        <f t="shared" si="10"/>
        <v>0</v>
      </c>
      <c r="U23" s="97"/>
      <c r="V23" s="98"/>
      <c r="W23" s="98"/>
      <c r="X23" s="101">
        <f t="shared" si="11"/>
        <v>0</v>
      </c>
      <c r="Y23" s="101">
        <f t="shared" si="12"/>
        <v>0</v>
      </c>
      <c r="Z23" s="102">
        <f t="shared" si="13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2"/>
        <v>0</v>
      </c>
      <c r="H24" s="99">
        <f t="shared" si="3"/>
        <v>0</v>
      </c>
      <c r="I24" s="100">
        <f t="shared" si="4"/>
        <v>0</v>
      </c>
      <c r="J24" s="97"/>
      <c r="K24" s="98"/>
      <c r="L24" s="98"/>
      <c r="M24" s="101">
        <f t="shared" si="5"/>
        <v>0</v>
      </c>
      <c r="N24" s="101">
        <f t="shared" si="6"/>
        <v>0</v>
      </c>
      <c r="O24" s="102">
        <f t="shared" si="7"/>
        <v>0</v>
      </c>
      <c r="P24" s="97"/>
      <c r="Q24" s="98"/>
      <c r="R24" s="119">
        <f t="shared" si="8"/>
        <v>0</v>
      </c>
      <c r="S24" s="119">
        <f t="shared" si="9"/>
        <v>0</v>
      </c>
      <c r="T24" s="119">
        <f t="shared" si="10"/>
        <v>0</v>
      </c>
      <c r="U24" s="97"/>
      <c r="V24" s="98"/>
      <c r="W24" s="98"/>
      <c r="X24" s="101">
        <f t="shared" si="11"/>
        <v>0</v>
      </c>
      <c r="Y24" s="101">
        <f t="shared" si="12"/>
        <v>0</v>
      </c>
      <c r="Z24" s="102">
        <f t="shared" si="13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  <mergeCell ref="A12:A14"/>
    <mergeCell ref="B12:B14"/>
    <mergeCell ref="D12:I12"/>
    <mergeCell ref="J12:O12"/>
    <mergeCell ref="P12:T12"/>
    <mergeCell ref="G13:I13"/>
    <mergeCell ref="M13:O13"/>
    <mergeCell ref="R13:T13"/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I1" sqref="I1"/>
    </sheetView>
  </sheetViews>
  <sheetFormatPr defaultRowHeight="12.75" x14ac:dyDescent="0.2"/>
  <cols>
    <col min="3" max="3" width="13" customWidth="1"/>
    <col min="4" max="4" width="12" customWidth="1"/>
    <col min="5" max="5" width="11.5703125" customWidth="1"/>
    <col min="6" max="6" width="11.28515625" customWidth="1"/>
    <col min="7" max="7" width="15.140625" customWidth="1"/>
    <col min="8" max="8" width="14.85546875" customWidth="1"/>
    <col min="9" max="9" width="12.42578125" customWidth="1"/>
  </cols>
  <sheetData>
    <row r="1" spans="2:9" x14ac:dyDescent="0.2">
      <c r="I1" t="s">
        <v>181</v>
      </c>
    </row>
    <row r="2" spans="2:9" ht="55.5" customHeight="1" x14ac:dyDescent="0.2">
      <c r="B2" s="209" t="s">
        <v>165</v>
      </c>
      <c r="C2" s="209"/>
      <c r="D2" s="209"/>
      <c r="E2" s="209"/>
      <c r="F2" s="209"/>
      <c r="G2" s="209"/>
      <c r="H2" s="209"/>
      <c r="I2" s="209"/>
    </row>
    <row r="3" spans="2:9" ht="21" customHeight="1" x14ac:dyDescent="0.2"/>
    <row r="4" spans="2:9" ht="44.25" customHeight="1" x14ac:dyDescent="0.2">
      <c r="B4" s="135"/>
      <c r="C4" s="136" t="s">
        <v>158</v>
      </c>
      <c r="D4" s="136" t="s">
        <v>159</v>
      </c>
      <c r="E4" s="136" t="s">
        <v>160</v>
      </c>
      <c r="F4" s="136" t="s">
        <v>161</v>
      </c>
      <c r="G4" s="137" t="s">
        <v>162</v>
      </c>
      <c r="H4" s="137" t="s">
        <v>163</v>
      </c>
      <c r="I4" s="136" t="s">
        <v>164</v>
      </c>
    </row>
    <row r="5" spans="2:9" x14ac:dyDescent="0.2">
      <c r="B5" s="135" t="s">
        <v>150</v>
      </c>
      <c r="C5" s="138">
        <v>908664</v>
      </c>
      <c r="D5" s="138">
        <v>555295</v>
      </c>
      <c r="E5" s="138">
        <v>4043204</v>
      </c>
      <c r="F5" s="138">
        <f>SUM(C5:E5)</f>
        <v>5507163</v>
      </c>
      <c r="G5" s="138">
        <f t="shared" ref="G5:G11" si="0">F5*1.302</f>
        <v>7170326.2259999998</v>
      </c>
      <c r="H5" s="138">
        <f t="shared" ref="H5:H11" si="1">G5*0.2</f>
        <v>1434065.2452</v>
      </c>
      <c r="I5" s="138">
        <f>G5+H5</f>
        <v>8604391.4712000005</v>
      </c>
    </row>
    <row r="6" spans="2:9" x14ac:dyDescent="0.2">
      <c r="B6" s="135" t="s">
        <v>151</v>
      </c>
      <c r="C6" s="138">
        <v>449664</v>
      </c>
      <c r="D6" s="138">
        <v>274794</v>
      </c>
      <c r="E6" s="138">
        <v>1448727</v>
      </c>
      <c r="F6" s="138">
        <f t="shared" ref="F6:F11" si="2">SUM(C6:E6)</f>
        <v>2173185</v>
      </c>
      <c r="G6" s="138">
        <f t="shared" si="0"/>
        <v>2829486.87</v>
      </c>
      <c r="H6" s="138">
        <f t="shared" si="1"/>
        <v>565897.37400000007</v>
      </c>
      <c r="I6" s="138">
        <f t="shared" ref="I6:I11" si="3">G6+H6</f>
        <v>3395384.2439999999</v>
      </c>
    </row>
    <row r="7" spans="2:9" x14ac:dyDescent="0.2">
      <c r="B7" s="135" t="s">
        <v>152</v>
      </c>
      <c r="C7" s="138">
        <v>520447</v>
      </c>
      <c r="D7" s="138">
        <v>318051</v>
      </c>
      <c r="E7" s="138">
        <v>1717314</v>
      </c>
      <c r="F7" s="138">
        <f t="shared" si="2"/>
        <v>2555812</v>
      </c>
      <c r="G7" s="138">
        <f t="shared" si="0"/>
        <v>3327667.2239999999</v>
      </c>
      <c r="H7" s="138">
        <f t="shared" si="1"/>
        <v>665533.44480000006</v>
      </c>
      <c r="I7" s="138">
        <f t="shared" si="3"/>
        <v>3993200.6688000001</v>
      </c>
    </row>
    <row r="8" spans="2:9" x14ac:dyDescent="0.2">
      <c r="B8" s="135" t="s">
        <v>153</v>
      </c>
      <c r="C8" s="138">
        <v>513098</v>
      </c>
      <c r="D8" s="138">
        <v>313560</v>
      </c>
      <c r="E8" s="138">
        <v>951723</v>
      </c>
      <c r="F8" s="138">
        <f t="shared" si="2"/>
        <v>1778381</v>
      </c>
      <c r="G8" s="138">
        <f t="shared" si="0"/>
        <v>2315452.0619999999</v>
      </c>
      <c r="H8" s="138">
        <f t="shared" si="1"/>
        <v>463090.41240000003</v>
      </c>
      <c r="I8" s="138">
        <f t="shared" si="3"/>
        <v>2778542.4743999997</v>
      </c>
    </row>
    <row r="9" spans="2:9" x14ac:dyDescent="0.2">
      <c r="B9" s="135" t="s">
        <v>154</v>
      </c>
      <c r="C9" s="138">
        <v>528513</v>
      </c>
      <c r="D9" s="138">
        <v>322980</v>
      </c>
      <c r="E9" s="138">
        <v>1659866</v>
      </c>
      <c r="F9" s="138">
        <f t="shared" si="2"/>
        <v>2511359</v>
      </c>
      <c r="G9" s="138">
        <f t="shared" si="0"/>
        <v>3269789.4180000001</v>
      </c>
      <c r="H9" s="138">
        <f t="shared" si="1"/>
        <v>653957.88360000006</v>
      </c>
      <c r="I9" s="138">
        <f t="shared" si="3"/>
        <v>3923747.3015999999</v>
      </c>
    </row>
    <row r="10" spans="2:9" x14ac:dyDescent="0.2">
      <c r="B10" s="135" t="s">
        <v>155</v>
      </c>
      <c r="C10" s="138">
        <v>498222</v>
      </c>
      <c r="D10" s="138">
        <v>304469</v>
      </c>
      <c r="E10" s="138">
        <v>1489583</v>
      </c>
      <c r="F10" s="138">
        <f t="shared" si="2"/>
        <v>2292274</v>
      </c>
      <c r="G10" s="138">
        <f t="shared" si="0"/>
        <v>2984540.7480000001</v>
      </c>
      <c r="H10" s="138">
        <f t="shared" si="1"/>
        <v>596908.1496</v>
      </c>
      <c r="I10" s="138">
        <f t="shared" si="3"/>
        <v>3581448.8976000003</v>
      </c>
    </row>
    <row r="11" spans="2:9" x14ac:dyDescent="0.2">
      <c r="B11" s="135" t="s">
        <v>156</v>
      </c>
      <c r="C11" s="138">
        <v>434644</v>
      </c>
      <c r="D11" s="138">
        <v>265616</v>
      </c>
      <c r="E11" s="138">
        <v>1443949</v>
      </c>
      <c r="F11" s="138">
        <f t="shared" si="2"/>
        <v>2144209</v>
      </c>
      <c r="G11" s="138">
        <f t="shared" si="0"/>
        <v>2791760.1180000002</v>
      </c>
      <c r="H11" s="138">
        <f t="shared" si="1"/>
        <v>558352.02360000007</v>
      </c>
      <c r="I11" s="138">
        <f t="shared" si="3"/>
        <v>3350112.1416000002</v>
      </c>
    </row>
    <row r="12" spans="2:9" x14ac:dyDescent="0.2">
      <c r="B12" s="135" t="s">
        <v>157</v>
      </c>
      <c r="C12" s="138">
        <f>SUM(C5:C11)</f>
        <v>3853252</v>
      </c>
      <c r="D12" s="138">
        <f t="shared" ref="D12:F12" si="4">SUM(D5:D11)</f>
        <v>2354765</v>
      </c>
      <c r="E12" s="138">
        <f t="shared" si="4"/>
        <v>12754366</v>
      </c>
      <c r="F12" s="138">
        <f t="shared" si="4"/>
        <v>18962383</v>
      </c>
      <c r="G12" s="138">
        <f>SUM(G5:G11)</f>
        <v>24689022.666000001</v>
      </c>
      <c r="H12" s="138">
        <f>SUM(H5:H11)</f>
        <v>4937804.5332000004</v>
      </c>
      <c r="I12" s="138">
        <f>SUM(I5:I11)</f>
        <v>29626827.199199997</v>
      </c>
    </row>
  </sheetData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R1" sqref="R1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178</v>
      </c>
    </row>
    <row r="2" spans="1:19" ht="25.5" x14ac:dyDescent="0.35">
      <c r="A2" s="186" t="s">
        <v>100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30.75" x14ac:dyDescent="0.5">
      <c r="A3" s="186" t="s">
        <v>99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20.25" x14ac:dyDescent="0.3">
      <c r="A4" s="187" t="s">
        <v>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9" ht="19.5" thickBot="1" x14ac:dyDescent="0.35">
      <c r="A5" s="197" t="s">
        <v>96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9"/>
      <c r="O6" s="139"/>
      <c r="P6" s="139"/>
      <c r="Q6" s="139"/>
      <c r="R6" s="139"/>
      <c r="S6" s="10"/>
    </row>
    <row r="7" spans="1:19" ht="19.5" thickBot="1" x14ac:dyDescent="0.35">
      <c r="A7" s="10"/>
      <c r="B7" s="10"/>
      <c r="C7" s="10"/>
      <c r="D7" s="61">
        <v>0.42299999999999999</v>
      </c>
      <c r="E7" s="61">
        <v>0.4</v>
      </c>
      <c r="F7" s="61">
        <v>0.11</v>
      </c>
      <c r="G7" s="61">
        <v>6.7000000000000004E-2</v>
      </c>
      <c r="H7" s="62">
        <f>1-D7-E7-F7-G7</f>
        <v>0</v>
      </c>
      <c r="I7" s="67"/>
      <c r="J7" s="10"/>
      <c r="K7" s="10"/>
      <c r="L7" s="10"/>
      <c r="M7" s="10"/>
      <c r="N7" s="139"/>
      <c r="O7" s="139"/>
      <c r="P7" s="139"/>
      <c r="Q7" s="139"/>
      <c r="R7" s="139"/>
      <c r="S7" s="10"/>
    </row>
    <row r="8" spans="1:19" ht="12.75" customHeight="1" x14ac:dyDescent="0.2">
      <c r="A8" s="189" t="s">
        <v>0</v>
      </c>
      <c r="B8" s="189" t="s">
        <v>5</v>
      </c>
      <c r="C8" s="189" t="s">
        <v>3</v>
      </c>
      <c r="D8" s="189" t="s">
        <v>85</v>
      </c>
      <c r="E8" s="189" t="s">
        <v>166</v>
      </c>
      <c r="F8" s="189" t="s">
        <v>167</v>
      </c>
      <c r="G8" s="189" t="s">
        <v>168</v>
      </c>
      <c r="H8" s="189" t="s">
        <v>132</v>
      </c>
      <c r="I8" s="191" t="s">
        <v>79</v>
      </c>
      <c r="J8" s="192"/>
      <c r="K8" s="192"/>
      <c r="L8" s="192"/>
      <c r="M8" s="193"/>
      <c r="N8" s="194" t="s">
        <v>84</v>
      </c>
      <c r="O8" s="195"/>
      <c r="P8" s="195"/>
      <c r="Q8" s="195"/>
      <c r="R8" s="196"/>
      <c r="S8" s="188" t="s">
        <v>89</v>
      </c>
    </row>
    <row r="9" spans="1:19" ht="114" customHeight="1" x14ac:dyDescent="0.2">
      <c r="A9" s="190"/>
      <c r="B9" s="190"/>
      <c r="C9" s="190"/>
      <c r="D9" s="190"/>
      <c r="E9" s="190"/>
      <c r="F9" s="190"/>
      <c r="G9" s="190"/>
      <c r="H9" s="190"/>
      <c r="I9" s="41" t="s">
        <v>80</v>
      </c>
      <c r="J9" s="41" t="s">
        <v>169</v>
      </c>
      <c r="K9" s="41" t="s">
        <v>170</v>
      </c>
      <c r="L9" s="41" t="s">
        <v>171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188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8451</v>
      </c>
      <c r="D10" s="44">
        <f t="shared" si="0"/>
        <v>29626.7</v>
      </c>
      <c r="E10" s="44">
        <f t="shared" si="0"/>
        <v>17855</v>
      </c>
      <c r="F10" s="44">
        <f t="shared" si="0"/>
        <v>19564</v>
      </c>
      <c r="G10" s="44">
        <f t="shared" si="0"/>
        <v>6675</v>
      </c>
      <c r="H10" s="44">
        <f t="shared" si="0"/>
        <v>388</v>
      </c>
      <c r="I10" s="56">
        <f t="shared" ref="I10:R10" si="1">MAX(I11:I18)</f>
        <v>6.633861386138614</v>
      </c>
      <c r="J10" s="56">
        <f t="shared" si="1"/>
        <v>4.6169989506820563</v>
      </c>
      <c r="K10" s="56">
        <f t="shared" si="1"/>
        <v>4.5314776274713839</v>
      </c>
      <c r="L10" s="56">
        <f t="shared" si="1"/>
        <v>1.3103537981269511</v>
      </c>
      <c r="M10" s="56">
        <f t="shared" si="1"/>
        <v>0.1523096129837703</v>
      </c>
      <c r="N10" s="56">
        <f t="shared" si="1"/>
        <v>0.42299999999999999</v>
      </c>
      <c r="O10" s="56">
        <f t="shared" si="1"/>
        <v>0.4</v>
      </c>
      <c r="P10" s="56">
        <f t="shared" si="1"/>
        <v>0.11</v>
      </c>
      <c r="Q10" s="56">
        <f t="shared" si="1"/>
        <v>6.7000000000000004E-2</v>
      </c>
      <c r="R10" s="56">
        <f t="shared" si="1"/>
        <v>0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3844</v>
      </c>
      <c r="D11" s="64">
        <v>8604.4</v>
      </c>
      <c r="E11" s="64">
        <v>1671</v>
      </c>
      <c r="F11" s="64">
        <v>17419</v>
      </c>
      <c r="G11" s="64">
        <v>5037</v>
      </c>
      <c r="H11" s="64">
        <v>81</v>
      </c>
      <c r="I11" s="53">
        <f>IF($C11=0, ,D11/$C11)</f>
        <v>2.2383975026014569</v>
      </c>
      <c r="J11" s="53">
        <f>IF($C11=0, ,E11/$C11)</f>
        <v>0.43470343392299687</v>
      </c>
      <c r="K11" s="53">
        <f>IF($C11=0, ,F11/$C11)</f>
        <v>4.5314776274713839</v>
      </c>
      <c r="L11" s="53">
        <f>IF($C11=0, ,G11/$C11)</f>
        <v>1.3103537981269511</v>
      </c>
      <c r="M11" s="53">
        <f>IF($C11=0, ,H11/$C11)</f>
        <v>2.1071800208116546E-2</v>
      </c>
      <c r="N11" s="53">
        <f>I11/I$10*D$7</f>
        <v>0.14272865959768671</v>
      </c>
      <c r="O11" s="53">
        <f>J11/J$10*E$7</f>
        <v>3.7661124775328736E-2</v>
      </c>
      <c r="P11" s="53">
        <f>K11/K$10*F$7</f>
        <v>0.11</v>
      </c>
      <c r="Q11" s="53">
        <f>L11/L$10*G$7</f>
        <v>6.7000000000000004E-2</v>
      </c>
      <c r="R11" s="53">
        <f>M11/M$10*H$7</f>
        <v>0</v>
      </c>
      <c r="S11" s="54">
        <f>IF(C11=0,0,N11+O11+P11+Q11+R11)</f>
        <v>0.35738978437301544</v>
      </c>
    </row>
    <row r="12" spans="1:19" x14ac:dyDescent="0.2">
      <c r="A12" s="49">
        <v>2</v>
      </c>
      <c r="B12" s="63" t="str">
        <f>ИНП!B17</f>
        <v>Биритское</v>
      </c>
      <c r="C12" s="96">
        <v>520</v>
      </c>
      <c r="D12" s="64">
        <v>3395.4</v>
      </c>
      <c r="E12" s="64">
        <v>797</v>
      </c>
      <c r="F12" s="64">
        <v>467</v>
      </c>
      <c r="G12" s="64">
        <v>105</v>
      </c>
      <c r="H12" s="64">
        <v>43</v>
      </c>
      <c r="I12" s="53">
        <f t="shared" ref="I12:L13" si="2">IF($C12=0, ,D12/$C12)</f>
        <v>6.5296153846153846</v>
      </c>
      <c r="J12" s="53">
        <f t="shared" si="2"/>
        <v>1.5326923076923078</v>
      </c>
      <c r="K12" s="53">
        <f t="shared" si="2"/>
        <v>0.89807692307692311</v>
      </c>
      <c r="L12" s="53">
        <f t="shared" si="2"/>
        <v>0.20192307692307693</v>
      </c>
      <c r="M12" s="53">
        <f t="shared" ref="M12:M18" si="3">IF($C12=0, ,H12/$C12)</f>
        <v>8.269230769230769E-2</v>
      </c>
      <c r="N12" s="53">
        <f t="shared" ref="N12:N18" si="4">I12/I$10*D$7</f>
        <v>0.41635288211832938</v>
      </c>
      <c r="O12" s="53">
        <f t="shared" ref="O12:O18" si="5">J12/J$10*E$7</f>
        <v>0.13278688811188813</v>
      </c>
      <c r="P12" s="53">
        <f t="shared" ref="P12:P18" si="6">K12/K$10*F$7</f>
        <v>2.1800496363387458E-2</v>
      </c>
      <c r="Q12" s="53">
        <f t="shared" ref="Q12:Q18" si="7">L12/L$10*G$7</f>
        <v>1.0324575067576855E-2</v>
      </c>
      <c r="R12" s="53">
        <f t="shared" ref="R12:R18" si="8">M12/M$10*H$7</f>
        <v>0</v>
      </c>
      <c r="S12" s="54">
        <f t="shared" ref="S12:S18" si="9">IF(C12=0,0,N12+O12+P12+Q12+R12)</f>
        <v>0.58126484166118186</v>
      </c>
    </row>
    <row r="13" spans="1:19" x14ac:dyDescent="0.2">
      <c r="A13" s="49">
        <v>3</v>
      </c>
      <c r="B13" s="63" t="str">
        <f>ИНП!B18</f>
        <v>Заславское</v>
      </c>
      <c r="C13" s="96">
        <v>945</v>
      </c>
      <c r="D13" s="64">
        <v>3993.2</v>
      </c>
      <c r="E13" s="64">
        <v>3500</v>
      </c>
      <c r="F13" s="64">
        <v>948</v>
      </c>
      <c r="G13" s="64">
        <v>444</v>
      </c>
      <c r="H13" s="64">
        <v>5</v>
      </c>
      <c r="I13" s="53">
        <f t="shared" si="2"/>
        <v>4.2256084656084658</v>
      </c>
      <c r="J13" s="53">
        <f t="shared" si="2"/>
        <v>3.7037037037037037</v>
      </c>
      <c r="K13" s="53">
        <f t="shared" si="2"/>
        <v>1.0031746031746032</v>
      </c>
      <c r="L13" s="53">
        <f t="shared" si="2"/>
        <v>0.46984126984126984</v>
      </c>
      <c r="M13" s="53">
        <f t="shared" si="3"/>
        <v>5.2910052910052907E-3</v>
      </c>
      <c r="N13" s="53">
        <f t="shared" si="4"/>
        <v>0.26944071889822763</v>
      </c>
      <c r="O13" s="53">
        <f t="shared" si="5"/>
        <v>0.32087542087542092</v>
      </c>
      <c r="P13" s="53">
        <f t="shared" si="6"/>
        <v>2.4351704989169828E-2</v>
      </c>
      <c r="Q13" s="53">
        <f t="shared" si="7"/>
        <v>2.4023561517784273E-2</v>
      </c>
      <c r="R13" s="53">
        <f t="shared" si="8"/>
        <v>0</v>
      </c>
      <c r="S13" s="54">
        <f t="shared" si="9"/>
        <v>0.63869140628060261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883</v>
      </c>
      <c r="D14" s="64">
        <v>2778.5</v>
      </c>
      <c r="E14" s="64">
        <v>3600</v>
      </c>
      <c r="F14" s="64">
        <v>0</v>
      </c>
      <c r="G14" s="64">
        <v>308</v>
      </c>
      <c r="H14" s="64">
        <v>5</v>
      </c>
      <c r="I14" s="53">
        <f t="shared" ref="I14:I18" si="10">IF($C14=0, ,D14/$C14)</f>
        <v>3.1466591166477915</v>
      </c>
      <c r="J14" s="53">
        <f t="shared" ref="J14:J18" si="11">IF($C14=0, ,E14/$C14)</f>
        <v>4.0770101925254814</v>
      </c>
      <c r="K14" s="53">
        <f t="shared" ref="K14:K18" si="12">IF($C14=0, ,F14/$C14)</f>
        <v>0</v>
      </c>
      <c r="L14" s="53">
        <f t="shared" ref="L14:L18" si="13">IF($C14=0, ,G14/$C14)</f>
        <v>0.34881087202718009</v>
      </c>
      <c r="M14" s="53">
        <f t="shared" si="3"/>
        <v>5.6625141562853904E-3</v>
      </c>
      <c r="N14" s="53">
        <f t="shared" si="4"/>
        <v>0.20064284266222437</v>
      </c>
      <c r="O14" s="53">
        <f t="shared" si="5"/>
        <v>0.35321733758879859</v>
      </c>
      <c r="P14" s="53">
        <f t="shared" si="6"/>
        <v>0</v>
      </c>
      <c r="Q14" s="53">
        <f t="shared" si="7"/>
        <v>1.7835128542556318E-2</v>
      </c>
      <c r="R14" s="53">
        <f t="shared" si="8"/>
        <v>0</v>
      </c>
      <c r="S14" s="54">
        <f t="shared" si="9"/>
        <v>0.57169530879357933</v>
      </c>
    </row>
    <row r="15" spans="1:19" x14ac:dyDescent="0.2">
      <c r="A15" s="49">
        <v>5</v>
      </c>
      <c r="B15" s="63" t="str">
        <f>ИНП!B20</f>
        <v>Кумарейское</v>
      </c>
      <c r="C15" s="96">
        <v>953</v>
      </c>
      <c r="D15" s="64">
        <v>3923.7</v>
      </c>
      <c r="E15" s="64">
        <v>4400</v>
      </c>
      <c r="F15" s="64">
        <v>214</v>
      </c>
      <c r="G15" s="64">
        <v>544</v>
      </c>
      <c r="H15" s="64">
        <v>129</v>
      </c>
      <c r="I15" s="53">
        <f t="shared" si="10"/>
        <v>4.1172088142707235</v>
      </c>
      <c r="J15" s="53">
        <f t="shared" si="11"/>
        <v>4.6169989506820563</v>
      </c>
      <c r="K15" s="53">
        <f t="shared" si="12"/>
        <v>0.22455403987408185</v>
      </c>
      <c r="L15" s="53">
        <f t="shared" si="13"/>
        <v>0.57082896117523607</v>
      </c>
      <c r="M15" s="53">
        <f t="shared" si="3"/>
        <v>0.1353620146904512</v>
      </c>
      <c r="N15" s="53">
        <f t="shared" si="4"/>
        <v>0.26252874865241055</v>
      </c>
      <c r="O15" s="53">
        <f t="shared" si="5"/>
        <v>0.4</v>
      </c>
      <c r="P15" s="53">
        <f t="shared" si="6"/>
        <v>5.4509690694274507E-3</v>
      </c>
      <c r="Q15" s="53">
        <f t="shared" si="7"/>
        <v>2.9187186280079356E-2</v>
      </c>
      <c r="R15" s="53">
        <f t="shared" si="8"/>
        <v>0</v>
      </c>
      <c r="S15" s="54">
        <f t="shared" si="9"/>
        <v>0.69716690400191728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3581.4</v>
      </c>
      <c r="E16" s="64">
        <v>3200</v>
      </c>
      <c r="F16" s="64">
        <v>337</v>
      </c>
      <c r="G16" s="64">
        <v>140</v>
      </c>
      <c r="H16" s="64">
        <v>122</v>
      </c>
      <c r="I16" s="53">
        <f t="shared" si="10"/>
        <v>4.4711610486891384</v>
      </c>
      <c r="J16" s="53">
        <f t="shared" si="11"/>
        <v>3.9950062421972534</v>
      </c>
      <c r="K16" s="53">
        <f t="shared" si="12"/>
        <v>0.42072409488139823</v>
      </c>
      <c r="L16" s="53">
        <f t="shared" si="13"/>
        <v>0.17478152309612985</v>
      </c>
      <c r="M16" s="53">
        <f t="shared" si="3"/>
        <v>0.1523096129837703</v>
      </c>
      <c r="N16" s="53">
        <f t="shared" si="4"/>
        <v>0.28509807689792255</v>
      </c>
      <c r="O16" s="53">
        <f t="shared" si="5"/>
        <v>0.34611281352854389</v>
      </c>
      <c r="P16" s="53">
        <f t="shared" si="6"/>
        <v>1.0212927049753169E-2</v>
      </c>
      <c r="Q16" s="53">
        <f t="shared" si="7"/>
        <v>8.9367940659841275E-3</v>
      </c>
      <c r="R16" s="53">
        <f t="shared" si="8"/>
        <v>0</v>
      </c>
      <c r="S16" s="54">
        <f t="shared" si="9"/>
        <v>0.6503606115422037</v>
      </c>
    </row>
    <row r="17" spans="1:19" x14ac:dyDescent="0.2">
      <c r="A17" s="49">
        <v>7</v>
      </c>
      <c r="B17" s="63" t="s">
        <v>156</v>
      </c>
      <c r="C17" s="96">
        <v>505</v>
      </c>
      <c r="D17" s="64">
        <v>3350.1</v>
      </c>
      <c r="E17" s="64">
        <v>687</v>
      </c>
      <c r="F17" s="64">
        <v>179</v>
      </c>
      <c r="G17" s="64">
        <v>97</v>
      </c>
      <c r="H17" s="64">
        <v>3</v>
      </c>
      <c r="I17" s="53">
        <f t="shared" si="10"/>
        <v>6.633861386138614</v>
      </c>
      <c r="J17" s="53">
        <f t="shared" si="11"/>
        <v>1.3603960396039605</v>
      </c>
      <c r="K17" s="53">
        <f t="shared" si="12"/>
        <v>0.35445544554455444</v>
      </c>
      <c r="L17" s="53">
        <f t="shared" si="13"/>
        <v>0.19207920792079208</v>
      </c>
      <c r="M17" s="53">
        <f t="shared" si="3"/>
        <v>5.9405940594059407E-3</v>
      </c>
      <c r="N17" s="53">
        <f t="shared" si="4"/>
        <v>0.42299999999999999</v>
      </c>
      <c r="O17" s="53">
        <f t="shared" si="5"/>
        <v>0.1178597659765977</v>
      </c>
      <c r="P17" s="53">
        <f t="shared" si="6"/>
        <v>8.604279269421861E-3</v>
      </c>
      <c r="Q17" s="53">
        <f t="shared" si="7"/>
        <v>9.8212459482994157E-3</v>
      </c>
      <c r="R17" s="53">
        <f t="shared" si="8"/>
        <v>0</v>
      </c>
      <c r="S17" s="54">
        <f t="shared" si="9"/>
        <v>0.55928529119431891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H8:H9"/>
    <mergeCell ref="I8:M8"/>
    <mergeCell ref="N8:R8"/>
    <mergeCell ref="A5:S5"/>
    <mergeCell ref="A8:A9"/>
    <mergeCell ref="B8:B9"/>
    <mergeCell ref="C8:C9"/>
    <mergeCell ref="D8:D9"/>
    <mergeCell ref="E8:E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5" sqref="J5:K14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2.85546875" style="117" customWidth="1"/>
    <col min="11" max="11" width="10.42578125" style="117" customWidth="1"/>
    <col min="12" max="16384" width="9.140625" style="117"/>
  </cols>
  <sheetData>
    <row r="1" spans="1:11" x14ac:dyDescent="0.2">
      <c r="I1" s="117" t="s">
        <v>173</v>
      </c>
    </row>
    <row r="2" spans="1:11" ht="48.75" customHeight="1" x14ac:dyDescent="0.35">
      <c r="A2" s="200" t="s">
        <v>172</v>
      </c>
      <c r="B2" s="200"/>
      <c r="C2" s="200"/>
      <c r="D2" s="200"/>
      <c r="E2" s="200"/>
      <c r="F2" s="200"/>
      <c r="G2" s="200"/>
      <c r="H2" s="200"/>
      <c r="I2" s="200"/>
    </row>
    <row r="3" spans="1:11" ht="20.25" x14ac:dyDescent="0.3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18.75" x14ac:dyDescent="0.3">
      <c r="A4" s="197"/>
      <c r="B4" s="197"/>
      <c r="C4" s="197"/>
      <c r="D4" s="197"/>
      <c r="E4" s="197"/>
      <c r="H4" s="116" t="s">
        <v>130</v>
      </c>
      <c r="I4" s="118">
        <v>7.6274699999999998</v>
      </c>
    </row>
    <row r="5" spans="1:11" ht="12.75" customHeight="1" x14ac:dyDescent="0.2">
      <c r="A5" s="189" t="s">
        <v>0</v>
      </c>
      <c r="B5" s="189" t="s">
        <v>5</v>
      </c>
      <c r="C5" s="189" t="s">
        <v>129</v>
      </c>
      <c r="D5" s="189" t="s">
        <v>102</v>
      </c>
      <c r="E5" s="189" t="s">
        <v>103</v>
      </c>
      <c r="F5" s="201" t="s">
        <v>101</v>
      </c>
      <c r="G5" s="189" t="s">
        <v>105</v>
      </c>
      <c r="H5" s="189" t="s">
        <v>104</v>
      </c>
      <c r="I5" s="189" t="s">
        <v>131</v>
      </c>
      <c r="J5" s="198" t="s">
        <v>182</v>
      </c>
      <c r="K5" s="198" t="s">
        <v>183</v>
      </c>
    </row>
    <row r="6" spans="1:11" ht="113.25" customHeight="1" x14ac:dyDescent="0.2">
      <c r="A6" s="190"/>
      <c r="B6" s="190"/>
      <c r="C6" s="190"/>
      <c r="D6" s="190"/>
      <c r="E6" s="190"/>
      <c r="F6" s="202"/>
      <c r="G6" s="190"/>
      <c r="H6" s="190"/>
      <c r="I6" s="190"/>
      <c r="J6" s="199"/>
      <c r="K6" s="199"/>
    </row>
    <row r="7" spans="1:11" x14ac:dyDescent="0.2">
      <c r="A7" s="42">
        <f>COUNT(C8:C14)</f>
        <v>7</v>
      </c>
      <c r="B7" s="43" t="s">
        <v>1</v>
      </c>
      <c r="C7" s="44">
        <f>SUM(C8:C14)</f>
        <v>8451</v>
      </c>
      <c r="D7" s="44"/>
      <c r="E7" s="44"/>
      <c r="F7" s="44"/>
      <c r="G7" s="127">
        <f>SUM(G8:G14)</f>
        <v>10717.6</v>
      </c>
      <c r="H7" s="44"/>
      <c r="I7" s="129">
        <f>SUM(I8:I14)</f>
        <v>38697.396822916453</v>
      </c>
      <c r="J7" s="157">
        <f>SUM(J8:J14)</f>
        <v>36902.399999999994</v>
      </c>
      <c r="K7" s="159">
        <f>I7-J7</f>
        <v>1794.9968229164588</v>
      </c>
    </row>
    <row r="8" spans="1:11" ht="15.75" x14ac:dyDescent="0.25">
      <c r="A8" s="49">
        <v>1</v>
      </c>
      <c r="B8" s="95" t="s">
        <v>133</v>
      </c>
      <c r="C8" s="114">
        <f>ИБР!C11</f>
        <v>3844</v>
      </c>
      <c r="D8" s="125">
        <f>ИНП!AG16</f>
        <v>1.0525932033596286</v>
      </c>
      <c r="E8" s="125">
        <f>ИБР!S11</f>
        <v>0.35738978437301544</v>
      </c>
      <c r="F8" s="125">
        <f>D8/E8</f>
        <v>2.9452246521434264</v>
      </c>
      <c r="G8" s="128">
        <v>9483.2000000000007</v>
      </c>
      <c r="H8" s="126">
        <f>F8+G8/(ИНП!$D$4/$C$7*'Дотация 2020 '!E8*'Дотация 2020 '!C8)</f>
        <v>6.8955019030135096</v>
      </c>
      <c r="I8" s="130">
        <f>ИНП!$D$4/$C$7*('Дотация 2020 '!$I$4-'Дотация 2020 '!$H8)*'Дотация 2020 '!$E8*'Дотация 2020 '!$C8</f>
        <v>1757.193082033262</v>
      </c>
      <c r="J8" s="156">
        <v>1169.7</v>
      </c>
      <c r="K8" s="158">
        <f t="shared" ref="K8:K14" si="0">I8-J8</f>
        <v>587.493082033262</v>
      </c>
    </row>
    <row r="9" spans="1:11" ht="15.75" x14ac:dyDescent="0.25">
      <c r="A9" s="49">
        <v>2</v>
      </c>
      <c r="B9" s="95" t="s">
        <v>134</v>
      </c>
      <c r="C9" s="114">
        <f>ИБР!C12</f>
        <v>520</v>
      </c>
      <c r="D9" s="125">
        <f>ИНП!AG17</f>
        <v>3.0434581246111946E-2</v>
      </c>
      <c r="E9" s="125">
        <f>ИБР!S12</f>
        <v>0.58126484166118186</v>
      </c>
      <c r="F9" s="125">
        <f t="shared" ref="F9:F14" si="1">D9/E9</f>
        <v>5.2359232942996756E-2</v>
      </c>
      <c r="G9" s="128">
        <v>67.099999999999994</v>
      </c>
      <c r="H9" s="126">
        <f>F9+G9/(ИНП!$D$4/$C$7*'Дотация 2020 '!E9*'Дотация 2020 '!C9)</f>
        <v>0.17940005718251517</v>
      </c>
      <c r="I9" s="130">
        <f>ИНП!$D$4/$C$7*('Дотация 2020 '!$I$4-'Дотация 2020 '!$H9)*'Дотация 2020 '!$E9*'Дотация 2020 '!$C9</f>
        <v>3933.8968095862829</v>
      </c>
      <c r="J9" s="156">
        <v>3808.3</v>
      </c>
      <c r="K9" s="158">
        <f t="shared" si="0"/>
        <v>125.59680958628269</v>
      </c>
    </row>
    <row r="10" spans="1:11" ht="15.75" x14ac:dyDescent="0.25">
      <c r="A10" s="49">
        <v>3</v>
      </c>
      <c r="B10" s="95" t="s">
        <v>135</v>
      </c>
      <c r="C10" s="114">
        <f>ИБР!C13</f>
        <v>945</v>
      </c>
      <c r="D10" s="125">
        <f>ИНП!AG18</f>
        <v>2.8395484827128538E-2</v>
      </c>
      <c r="E10" s="125">
        <f>ИБР!S13</f>
        <v>0.63869140628060261</v>
      </c>
      <c r="F10" s="125">
        <f t="shared" si="1"/>
        <v>4.4458849059029408E-2</v>
      </c>
      <c r="G10" s="128">
        <v>93.7</v>
      </c>
      <c r="H10" s="126">
        <f>F10+G10/(ИНП!$D$4/$C$7*'Дотация 2020 '!E10*'Дотация 2020 '!C10)</f>
        <v>0.13330014622026035</v>
      </c>
      <c r="I10" s="130">
        <f>ИНП!$D$4/$C$7*('Дотация 2020 '!$I$4-'Дотация 2020 '!$H10)*'Дотация 2020 '!$E10*'Дотация 2020 '!$C10</f>
        <v>7904.023666209966</v>
      </c>
      <c r="J10" s="156">
        <v>7646.8</v>
      </c>
      <c r="K10" s="158">
        <f t="shared" si="0"/>
        <v>257.22366620996581</v>
      </c>
    </row>
    <row r="11" spans="1:11" ht="15.75" x14ac:dyDescent="0.25">
      <c r="A11" s="49">
        <v>4</v>
      </c>
      <c r="B11" s="95" t="s">
        <v>136</v>
      </c>
      <c r="C11" s="114">
        <f>ИБР!C14</f>
        <v>883</v>
      </c>
      <c r="D11" s="125">
        <f>ИНП!AG19</f>
        <v>1.7005456767773462E-2</v>
      </c>
      <c r="E11" s="125">
        <f>ИБР!S14</f>
        <v>0.57169530879357933</v>
      </c>
      <c r="F11" s="125">
        <f t="shared" si="1"/>
        <v>2.9745664353376007E-2</v>
      </c>
      <c r="G11" s="128">
        <v>383.5</v>
      </c>
      <c r="H11" s="126">
        <f>F11+G11/(ИНП!$D$4/$C$7*'Дотация 2020 '!E11*'Дотация 2020 '!C11)</f>
        <v>0.46449428974979673</v>
      </c>
      <c r="I11" s="130">
        <f>ИНП!$D$4/$C$7*('Дотация 2020 '!$I$4-'Дотация 2020 '!$H11)*'Дотация 2020 '!$E11*'Дотация 2020 '!$C11</f>
        <v>6318.5965967715947</v>
      </c>
      <c r="J11" s="156">
        <v>6107.8</v>
      </c>
      <c r="K11" s="158">
        <f t="shared" si="0"/>
        <v>210.79659677159452</v>
      </c>
    </row>
    <row r="12" spans="1:11" ht="15.75" x14ac:dyDescent="0.25">
      <c r="A12" s="49">
        <v>5</v>
      </c>
      <c r="B12" s="95" t="s">
        <v>137</v>
      </c>
      <c r="C12" s="114">
        <f>ИБР!C15</f>
        <v>953</v>
      </c>
      <c r="D12" s="125">
        <f>ИНП!AG20</f>
        <v>1.2944203013833642E-2</v>
      </c>
      <c r="E12" s="125">
        <f>ИБР!S15</f>
        <v>0.69716690400191728</v>
      </c>
      <c r="F12" s="125">
        <f t="shared" si="1"/>
        <v>1.8566863888016757E-2</v>
      </c>
      <c r="G12" s="128">
        <v>521.79999999999995</v>
      </c>
      <c r="H12" s="126">
        <f>F12+G12/(ИНП!$D$4/$C$7*'Дотация 2020 '!E12*'Дотация 2020 '!C12)</f>
        <v>0.46800776581321929</v>
      </c>
      <c r="I12" s="130">
        <f>ИНП!$D$4/$C$7*('Дотация 2020 '!$I$4-'Дотация 2020 '!$H12)*'Дотация 2020 '!$E12*'Дотация 2020 '!$C12</f>
        <v>8312.1215220869854</v>
      </c>
      <c r="J12" s="156">
        <v>8033.3</v>
      </c>
      <c r="K12" s="158">
        <f t="shared" si="0"/>
        <v>278.82152208698517</v>
      </c>
    </row>
    <row r="13" spans="1:11" ht="15.75" x14ac:dyDescent="0.25">
      <c r="A13" s="49">
        <v>6</v>
      </c>
      <c r="B13" s="95" t="s">
        <v>138</v>
      </c>
      <c r="C13" s="114">
        <f>ИБР!C16</f>
        <v>801</v>
      </c>
      <c r="D13" s="125">
        <f>ИНП!AG21</f>
        <v>3.1828469523558001E-2</v>
      </c>
      <c r="E13" s="125">
        <f>ИБР!S16</f>
        <v>0.6503606115422037</v>
      </c>
      <c r="F13" s="125">
        <f t="shared" si="1"/>
        <v>4.8939725067425249E-2</v>
      </c>
      <c r="G13" s="128">
        <v>57.8</v>
      </c>
      <c r="H13" s="126">
        <f>F13+G13/(ИНП!$D$4/$C$7*'Дотация 2020 '!E13*'Дотация 2020 '!C13)</f>
        <v>0.11243468783727645</v>
      </c>
      <c r="I13" s="130">
        <f>ИНП!$D$4/$C$7*('Дотация 2020 '!$I$4-'Дотация 2020 '!$H13)*'Дотация 2020 '!$E13*'Дотация 2020 '!$C13</f>
        <v>6841.0000115671119</v>
      </c>
      <c r="J13" s="156">
        <v>6623</v>
      </c>
      <c r="K13" s="158">
        <f t="shared" si="0"/>
        <v>218.00001156711187</v>
      </c>
    </row>
    <row r="14" spans="1:11" ht="15.75" x14ac:dyDescent="0.25">
      <c r="A14" s="49">
        <v>7</v>
      </c>
      <c r="B14" s="95" t="s">
        <v>139</v>
      </c>
      <c r="C14" s="114">
        <f>ИБР!C17</f>
        <v>505</v>
      </c>
      <c r="D14" s="125">
        <f>ИНП!AG22</f>
        <v>2.6554452643958389E-2</v>
      </c>
      <c r="E14" s="125">
        <f>ИБР!S17</f>
        <v>0.55928529119431891</v>
      </c>
      <c r="F14" s="125">
        <f t="shared" si="1"/>
        <v>4.7479261589828348E-2</v>
      </c>
      <c r="G14" s="128">
        <v>110.5</v>
      </c>
      <c r="H14" s="126">
        <f>F14+G14/(ИНП!$D$4/$C$7*'Дотация 2020 '!E14*'Дотация 2020 '!C14)</f>
        <v>0.27136977042753835</v>
      </c>
      <c r="I14" s="130">
        <f>ИНП!$D$4/$C$7*('Дотация 2020 '!$I$4-'Дотация 2020 '!$H14)*'Дотация 2020 '!$E14*'Дотация 2020 '!$C14</f>
        <v>3630.5651346612526</v>
      </c>
      <c r="J14" s="156">
        <v>3513.5</v>
      </c>
      <c r="K14" s="158">
        <f t="shared" si="0"/>
        <v>117.06513466125261</v>
      </c>
    </row>
  </sheetData>
  <mergeCells count="14"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workbookViewId="0">
      <selection activeCell="B2" sqref="B2:G14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180</v>
      </c>
    </row>
    <row r="2" spans="1:7" ht="110.25" customHeight="1" x14ac:dyDescent="0.2">
      <c r="A2" s="133"/>
      <c r="B2" s="203" t="s">
        <v>148</v>
      </c>
      <c r="C2" s="203"/>
      <c r="D2" s="203"/>
      <c r="E2" s="203"/>
      <c r="F2" s="203"/>
      <c r="G2" s="203"/>
    </row>
    <row r="3" spans="1:7" ht="22.5" customHeight="1" x14ac:dyDescent="0.2">
      <c r="A3" s="133"/>
      <c r="B3" s="140"/>
      <c r="C3" s="140"/>
      <c r="D3" s="140"/>
      <c r="E3" s="140"/>
      <c r="F3" s="140"/>
      <c r="G3" s="140" t="s">
        <v>149</v>
      </c>
    </row>
    <row r="4" spans="1:7" ht="99.75" customHeight="1" x14ac:dyDescent="0.2">
      <c r="B4" s="141" t="s">
        <v>140</v>
      </c>
      <c r="C4" s="142" t="s">
        <v>141</v>
      </c>
      <c r="D4" s="142" t="s">
        <v>142</v>
      </c>
      <c r="E4" s="143" t="s">
        <v>143</v>
      </c>
      <c r="F4" s="143" t="s">
        <v>146</v>
      </c>
      <c r="G4" s="144" t="s">
        <v>147</v>
      </c>
    </row>
    <row r="5" spans="1:7" ht="15" x14ac:dyDescent="0.2">
      <c r="B5" s="145">
        <v>1</v>
      </c>
      <c r="C5" s="145">
        <v>2</v>
      </c>
      <c r="D5" s="145" t="s">
        <v>144</v>
      </c>
      <c r="E5" s="145">
        <v>4</v>
      </c>
      <c r="F5" s="145">
        <v>5</v>
      </c>
      <c r="G5" s="145">
        <v>6</v>
      </c>
    </row>
    <row r="6" spans="1:7" ht="15.75" x14ac:dyDescent="0.2">
      <c r="B6" s="121" t="s">
        <v>133</v>
      </c>
      <c r="C6" s="146">
        <v>355.24</v>
      </c>
      <c r="D6" s="147">
        <f>C6/C13</f>
        <v>0.69588042860780808</v>
      </c>
      <c r="E6" s="147">
        <f>D6</f>
        <v>0.69588042860780808</v>
      </c>
      <c r="F6" s="146">
        <v>1</v>
      </c>
      <c r="G6" s="147">
        <f t="shared" ref="G6:G12" si="0">E6*F6</f>
        <v>0.69588042860780808</v>
      </c>
    </row>
    <row r="7" spans="1:7" ht="15.75" x14ac:dyDescent="0.2">
      <c r="B7" s="122" t="s">
        <v>134</v>
      </c>
      <c r="C7" s="148">
        <v>26.43</v>
      </c>
      <c r="D7" s="149">
        <f>C7/C13</f>
        <v>5.1773785970342212E-2</v>
      </c>
      <c r="E7" s="149">
        <f t="shared" ref="E7:E12" si="1">D7</f>
        <v>5.1773785970342212E-2</v>
      </c>
      <c r="F7" s="148">
        <v>0.8</v>
      </c>
      <c r="G7" s="149">
        <f t="shared" si="0"/>
        <v>4.1419028776273771E-2</v>
      </c>
    </row>
    <row r="8" spans="1:7" ht="15.75" x14ac:dyDescent="0.2">
      <c r="B8" s="121" t="s">
        <v>135</v>
      </c>
      <c r="C8" s="146">
        <v>28.13</v>
      </c>
      <c r="D8" s="147">
        <f>C8/C13</f>
        <v>5.5103919763364602E-2</v>
      </c>
      <c r="E8" s="147">
        <f t="shared" si="1"/>
        <v>5.5103919763364602E-2</v>
      </c>
      <c r="F8" s="146">
        <v>0.8</v>
      </c>
      <c r="G8" s="147">
        <f t="shared" si="0"/>
        <v>4.4083135810691683E-2</v>
      </c>
    </row>
    <row r="9" spans="1:7" ht="15.75" x14ac:dyDescent="0.2">
      <c r="B9" s="122" t="s">
        <v>136</v>
      </c>
      <c r="C9" s="148">
        <v>23.62</v>
      </c>
      <c r="D9" s="149">
        <f>C9/C13</f>
        <v>4.6269270700699326E-2</v>
      </c>
      <c r="E9" s="149">
        <f t="shared" si="1"/>
        <v>4.6269270700699326E-2</v>
      </c>
      <c r="F9" s="148">
        <v>0.8</v>
      </c>
      <c r="G9" s="149">
        <f t="shared" si="0"/>
        <v>3.7015416560559462E-2</v>
      </c>
    </row>
    <row r="10" spans="1:7" ht="15.75" x14ac:dyDescent="0.2">
      <c r="B10" s="121" t="s">
        <v>137</v>
      </c>
      <c r="C10" s="146">
        <v>22.61</v>
      </c>
      <c r="D10" s="147">
        <f>C10/C13</f>
        <v>4.4290779447197781E-2</v>
      </c>
      <c r="E10" s="147">
        <f t="shared" si="1"/>
        <v>4.4290779447197781E-2</v>
      </c>
      <c r="F10" s="146">
        <v>0.8</v>
      </c>
      <c r="G10" s="147">
        <f t="shared" si="0"/>
        <v>3.5432623557758225E-2</v>
      </c>
    </row>
    <row r="11" spans="1:7" ht="15.75" x14ac:dyDescent="0.2">
      <c r="B11" s="122" t="s">
        <v>138</v>
      </c>
      <c r="C11" s="148">
        <v>29.98</v>
      </c>
      <c r="D11" s="149">
        <f>C11/C13</f>
        <v>5.8727888891065443E-2</v>
      </c>
      <c r="E11" s="149">
        <f t="shared" si="1"/>
        <v>5.8727888891065443E-2</v>
      </c>
      <c r="F11" s="148">
        <v>0.8</v>
      </c>
      <c r="G11" s="149">
        <f t="shared" si="0"/>
        <v>4.6982311112852358E-2</v>
      </c>
    </row>
    <row r="12" spans="1:7" ht="15.75" x14ac:dyDescent="0.2">
      <c r="B12" s="121" t="s">
        <v>139</v>
      </c>
      <c r="C12" s="146">
        <v>24.48</v>
      </c>
      <c r="D12" s="147">
        <f>C12/C13</f>
        <v>4.7953926619522413E-2</v>
      </c>
      <c r="E12" s="147">
        <f t="shared" si="1"/>
        <v>4.7953926619522413E-2</v>
      </c>
      <c r="F12" s="146">
        <v>0.8</v>
      </c>
      <c r="G12" s="147">
        <f t="shared" si="0"/>
        <v>3.8363141295617936E-2</v>
      </c>
    </row>
    <row r="13" spans="1:7" ht="31.5" x14ac:dyDescent="0.2">
      <c r="B13" s="123" t="s">
        <v>145</v>
      </c>
      <c r="C13" s="150">
        <f t="shared" ref="C13:D13" si="2">SUM(C6:C12)</f>
        <v>510.49000000000007</v>
      </c>
      <c r="D13" s="151">
        <f t="shared" si="2"/>
        <v>0.99999999999999978</v>
      </c>
      <c r="E13" s="152">
        <f>D13</f>
        <v>0.99999999999999978</v>
      </c>
      <c r="F13" s="150"/>
      <c r="G13" s="153">
        <f>SUM(G6:G12)</f>
        <v>0.93917608572156153</v>
      </c>
    </row>
    <row r="14" spans="1:7" ht="15" x14ac:dyDescent="0.2">
      <c r="B14" s="154"/>
      <c r="C14" s="154"/>
      <c r="D14" s="154"/>
      <c r="E14" s="155"/>
      <c r="F14" s="154"/>
      <c r="G14" s="154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8" sqref="I8:I14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0.42578125" style="117" customWidth="1"/>
    <col min="11" max="11" width="10.140625" style="117" customWidth="1"/>
    <col min="12" max="16384" width="9.140625" style="117"/>
  </cols>
  <sheetData>
    <row r="1" spans="1:11" x14ac:dyDescent="0.2">
      <c r="I1" s="117" t="s">
        <v>175</v>
      </c>
    </row>
    <row r="2" spans="1:11" ht="66.75" customHeight="1" x14ac:dyDescent="0.35">
      <c r="A2" s="200" t="s">
        <v>174</v>
      </c>
      <c r="B2" s="200"/>
      <c r="C2" s="200"/>
      <c r="D2" s="200"/>
      <c r="E2" s="200"/>
      <c r="F2" s="200"/>
      <c r="G2" s="200"/>
      <c r="H2" s="200"/>
      <c r="I2" s="200"/>
    </row>
    <row r="3" spans="1:11" ht="20.25" x14ac:dyDescent="0.3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18.75" x14ac:dyDescent="0.3">
      <c r="A4" s="197"/>
      <c r="B4" s="197"/>
      <c r="C4" s="197"/>
      <c r="D4" s="197"/>
      <c r="E4" s="197"/>
      <c r="H4" s="116" t="s">
        <v>130</v>
      </c>
      <c r="I4" s="118">
        <v>6.9398099999999996</v>
      </c>
    </row>
    <row r="5" spans="1:11" ht="12.75" customHeight="1" x14ac:dyDescent="0.2">
      <c r="A5" s="189" t="s">
        <v>0</v>
      </c>
      <c r="B5" s="189" t="s">
        <v>5</v>
      </c>
      <c r="C5" s="189" t="s">
        <v>129</v>
      </c>
      <c r="D5" s="189" t="s">
        <v>102</v>
      </c>
      <c r="E5" s="189" t="s">
        <v>103</v>
      </c>
      <c r="F5" s="201" t="s">
        <v>101</v>
      </c>
      <c r="G5" s="189" t="s">
        <v>105</v>
      </c>
      <c r="H5" s="189" t="s">
        <v>104</v>
      </c>
      <c r="I5" s="189" t="s">
        <v>131</v>
      </c>
      <c r="J5" s="198" t="s">
        <v>182</v>
      </c>
      <c r="K5" s="198" t="s">
        <v>183</v>
      </c>
    </row>
    <row r="6" spans="1:11" ht="113.25" customHeight="1" x14ac:dyDescent="0.2">
      <c r="A6" s="190"/>
      <c r="B6" s="190"/>
      <c r="C6" s="190"/>
      <c r="D6" s="190"/>
      <c r="E6" s="190"/>
      <c r="F6" s="202"/>
      <c r="G6" s="190"/>
      <c r="H6" s="190"/>
      <c r="I6" s="190"/>
      <c r="J6" s="199"/>
      <c r="K6" s="199"/>
    </row>
    <row r="7" spans="1:11" x14ac:dyDescent="0.2">
      <c r="A7" s="42">
        <f>COUNT(C8:C14)</f>
        <v>7</v>
      </c>
      <c r="B7" s="43" t="s">
        <v>1</v>
      </c>
      <c r="C7" s="44">
        <f>SUM(C8:C14)</f>
        <v>8451</v>
      </c>
      <c r="D7" s="44"/>
      <c r="E7" s="44"/>
      <c r="F7" s="44"/>
      <c r="G7" s="127">
        <f>SUM(G8:G14)</f>
        <v>2917.7000000000003</v>
      </c>
      <c r="H7" s="44"/>
      <c r="I7" s="129">
        <f>SUM(I8:I14)</f>
        <v>41383.70414155523</v>
      </c>
      <c r="J7" s="157">
        <f>SUM(J8:J14)</f>
        <v>42538.7</v>
      </c>
      <c r="K7" s="159">
        <f>I7-J7</f>
        <v>-1154.9958584447668</v>
      </c>
    </row>
    <row r="8" spans="1:11" ht="15.75" x14ac:dyDescent="0.25">
      <c r="A8" s="49">
        <v>1</v>
      </c>
      <c r="B8" s="95" t="s">
        <v>133</v>
      </c>
      <c r="C8" s="114">
        <f>ИБР!C11</f>
        <v>3844</v>
      </c>
      <c r="D8" s="125">
        <f>ИНП!AH16</f>
        <v>1.0532211752301919</v>
      </c>
      <c r="E8" s="125">
        <f>ИБР!S11</f>
        <v>0.35738978437301544</v>
      </c>
      <c r="F8" s="125">
        <f>D8/E8</f>
        <v>2.946981758524251</v>
      </c>
      <c r="G8" s="128">
        <v>1805</v>
      </c>
      <c r="H8" s="126">
        <f>F8+G8/(ИНП!$D$4/$C$7*'Дотация 2021'!E8*'Дотация 2021'!C8)</f>
        <v>3.6988640807172342</v>
      </c>
      <c r="I8" s="130">
        <f>ИНП!$D$4/$C$7*('Дотация 2021'!$I$4-'Дотация 2021'!$H8)*'Дотация 2021'!$E8*'Дотация 2021'!$C8</f>
        <v>7780.349679246634</v>
      </c>
      <c r="J8" s="156">
        <v>8149.2</v>
      </c>
      <c r="K8" s="158">
        <f t="shared" ref="K8:K14" si="0">I8-J8</f>
        <v>-368.85032075336585</v>
      </c>
    </row>
    <row r="9" spans="1:11" ht="15.75" x14ac:dyDescent="0.25">
      <c r="A9" s="49">
        <v>2</v>
      </c>
      <c r="B9" s="95" t="s">
        <v>134</v>
      </c>
      <c r="C9" s="114">
        <f>ИБР!C12</f>
        <v>520</v>
      </c>
      <c r="D9" s="125">
        <f>ИНП!AH17</f>
        <v>3.0259652503267589E-2</v>
      </c>
      <c r="E9" s="125">
        <f>ИБР!S12</f>
        <v>0.58126484166118186</v>
      </c>
      <c r="F9" s="125">
        <f t="shared" ref="F9:F14" si="1">D9/E9</f>
        <v>5.205828795147717E-2</v>
      </c>
      <c r="G9" s="128">
        <v>7.3</v>
      </c>
      <c r="H9" s="126">
        <f>F9+G9/(ИНП!$D$4/$C$7*'Дотация 2021'!E9*'Дотация 2021'!C9)</f>
        <v>6.5879420841916586E-2</v>
      </c>
      <c r="I9" s="130">
        <f>ИНП!$D$4/$C$7*('Дотация 2021'!$I$4-'Дотация 2021'!$H9)*'Дотация 2021'!$E9*'Дотация 2021'!$C9</f>
        <v>3630.6497901170724</v>
      </c>
      <c r="J9" s="156">
        <v>3717</v>
      </c>
      <c r="K9" s="158">
        <f t="shared" si="0"/>
        <v>-86.350209882927629</v>
      </c>
    </row>
    <row r="10" spans="1:11" ht="15.75" x14ac:dyDescent="0.25">
      <c r="A10" s="49">
        <v>3</v>
      </c>
      <c r="B10" s="95" t="s">
        <v>135</v>
      </c>
      <c r="C10" s="114">
        <f>ИБР!C13</f>
        <v>945</v>
      </c>
      <c r="D10" s="125">
        <f>ИНП!AH18</f>
        <v>2.8351580818485312E-2</v>
      </c>
      <c r="E10" s="125">
        <f>ИБР!S13</f>
        <v>0.63869140628060261</v>
      </c>
      <c r="F10" s="125">
        <f t="shared" si="1"/>
        <v>4.43901084932233E-2</v>
      </c>
      <c r="G10" s="128">
        <v>135.4</v>
      </c>
      <c r="H10" s="126">
        <f>F10+G10/(ИНП!$D$4/$C$7*'Дотация 2021'!E10*'Дотация 2021'!C10)</f>
        <v>0.17276910140283555</v>
      </c>
      <c r="I10" s="130">
        <f>ИНП!$D$4/$C$7*('Дотация 2021'!$I$4-'Дотация 2021'!$H10)*'Дотация 2021'!$E10*'Дотация 2021'!$C10</f>
        <v>7137.1282552057792</v>
      </c>
      <c r="J10" s="156">
        <v>7299.2</v>
      </c>
      <c r="K10" s="158">
        <f t="shared" si="0"/>
        <v>-162.07174479422065</v>
      </c>
    </row>
    <row r="11" spans="1:11" ht="15.75" x14ac:dyDescent="0.25">
      <c r="A11" s="49">
        <v>4</v>
      </c>
      <c r="B11" s="95" t="s">
        <v>136</v>
      </c>
      <c r="C11" s="114">
        <f>ИБР!C14</f>
        <v>883</v>
      </c>
      <c r="D11" s="125">
        <f>ИНП!AH19</f>
        <v>1.7066263398436934E-2</v>
      </c>
      <c r="E11" s="125">
        <f>ИБР!S14</f>
        <v>0.57169530879357933</v>
      </c>
      <c r="F11" s="125">
        <f t="shared" si="1"/>
        <v>2.9852026308298796E-2</v>
      </c>
      <c r="G11" s="128">
        <v>418.7</v>
      </c>
      <c r="H11" s="126">
        <f>F11+G11/(ИНП!$D$4/$C$7*'Дотация 2021'!E11*'Дотация 2021'!C11)</f>
        <v>0.50450456725609893</v>
      </c>
      <c r="I11" s="130">
        <f>ИНП!$D$4/$C$7*('Дотация 2021'!$I$4-'Дотация 2021'!$H11)*'Дотация 2021'!$E11*'Дотация 2021'!$C11</f>
        <v>5676.7048572193244</v>
      </c>
      <c r="J11" s="156">
        <v>5812.3</v>
      </c>
      <c r="K11" s="158">
        <f t="shared" si="0"/>
        <v>-135.59514278067581</v>
      </c>
    </row>
    <row r="12" spans="1:11" ht="15.75" x14ac:dyDescent="0.25">
      <c r="A12" s="49">
        <v>5</v>
      </c>
      <c r="B12" s="95" t="s">
        <v>137</v>
      </c>
      <c r="C12" s="114">
        <f>ИБР!C15</f>
        <v>953</v>
      </c>
      <c r="D12" s="125">
        <f>ИНП!AH20</f>
        <v>1.2893073742934745E-2</v>
      </c>
      <c r="E12" s="125">
        <f>ИБР!S15</f>
        <v>0.69716690400191728</v>
      </c>
      <c r="F12" s="125">
        <f t="shared" si="1"/>
        <v>1.8493525250446036E-2</v>
      </c>
      <c r="G12" s="128">
        <v>437</v>
      </c>
      <c r="H12" s="126">
        <f>F12+G12/(ИНП!$D$4/$C$7*'Дотация 2021'!E12*'Дотация 2021'!C12)</f>
        <v>0.39489382065349987</v>
      </c>
      <c r="I12" s="130">
        <f>ИНП!$D$4/$C$7*('Дотация 2021'!$I$4-'Дотация 2021'!$H12)*'Дотация 2021'!$E12*'Дотация 2021'!$C12</f>
        <v>7598.6347654476767</v>
      </c>
      <c r="J12" s="156">
        <v>7785</v>
      </c>
      <c r="K12" s="158">
        <f t="shared" si="0"/>
        <v>-186.36523455232327</v>
      </c>
    </row>
    <row r="13" spans="1:11" ht="15.75" x14ac:dyDescent="0.25">
      <c r="A13" s="49">
        <v>6</v>
      </c>
      <c r="B13" s="95" t="s">
        <v>138</v>
      </c>
      <c r="C13" s="114">
        <f>ИБР!C16</f>
        <v>801</v>
      </c>
      <c r="D13" s="125">
        <f>ИНП!AH21</f>
        <v>3.1757553096211588E-2</v>
      </c>
      <c r="E13" s="125">
        <f>ИБР!S16</f>
        <v>0.6503606115422037</v>
      </c>
      <c r="F13" s="125">
        <f t="shared" si="1"/>
        <v>4.8830683366424557E-2</v>
      </c>
      <c r="G13" s="128">
        <v>48.5</v>
      </c>
      <c r="H13" s="126">
        <f>F13+G13/(ИНП!$D$4/$C$7*'Дотация 2021'!E13*'Дотация 2021'!C13)</f>
        <v>0.10210932859718205</v>
      </c>
      <c r="I13" s="130">
        <f>ИНП!$D$4/$C$7*('Дотация 2021'!$I$4-'Дотация 2021'!$H13)*'Дотация 2021'!$E13*'Дотация 2021'!$C13</f>
        <v>6224.416576786175</v>
      </c>
      <c r="J13" s="156">
        <v>6364.3</v>
      </c>
      <c r="K13" s="158">
        <f t="shared" si="0"/>
        <v>-139.88342321382515</v>
      </c>
    </row>
    <row r="14" spans="1:11" ht="15.75" x14ac:dyDescent="0.25">
      <c r="A14" s="49">
        <v>7</v>
      </c>
      <c r="B14" s="95" t="s">
        <v>139</v>
      </c>
      <c r="C14" s="114">
        <f>ИБР!C17</f>
        <v>505</v>
      </c>
      <c r="D14" s="125">
        <f>ИНП!AH22</f>
        <v>2.6615519604487072E-2</v>
      </c>
      <c r="E14" s="125">
        <f>ИБР!S17</f>
        <v>0.55928529119431891</v>
      </c>
      <c r="F14" s="125">
        <f t="shared" si="1"/>
        <v>4.7588449085888329E-2</v>
      </c>
      <c r="G14" s="128">
        <v>65.8</v>
      </c>
      <c r="H14" s="126">
        <f>F14+G14/(ИНП!$D$4/$C$7*'Дотация 2021'!E14*'Дотация 2021'!C14)</f>
        <v>0.18090967516300432</v>
      </c>
      <c r="I14" s="130">
        <f>ИНП!$D$4/$C$7*('Дотация 2021'!$I$4-'Дотация 2021'!$H14)*'Дотация 2021'!$E14*'Дотация 2021'!$C14</f>
        <v>3335.8202175325714</v>
      </c>
      <c r="J14" s="156">
        <v>3411.7</v>
      </c>
      <c r="K14" s="158">
        <f t="shared" si="0"/>
        <v>-75.879782467428413</v>
      </c>
    </row>
  </sheetData>
  <mergeCells count="14">
    <mergeCell ref="J5:J6"/>
    <mergeCell ref="K5:K6"/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8" sqref="I8:I14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3.42578125" style="117" customWidth="1"/>
    <col min="11" max="16384" width="9.140625" style="117"/>
  </cols>
  <sheetData>
    <row r="1" spans="1:11" x14ac:dyDescent="0.2">
      <c r="I1" s="117" t="s">
        <v>179</v>
      </c>
    </row>
    <row r="2" spans="1:11" ht="65.25" customHeight="1" x14ac:dyDescent="0.35">
      <c r="A2" s="200" t="s">
        <v>176</v>
      </c>
      <c r="B2" s="200"/>
      <c r="C2" s="200"/>
      <c r="D2" s="200"/>
      <c r="E2" s="200"/>
      <c r="F2" s="200"/>
      <c r="G2" s="200"/>
      <c r="H2" s="200"/>
      <c r="I2" s="200"/>
    </row>
    <row r="3" spans="1:11" ht="20.25" x14ac:dyDescent="0.3">
      <c r="A3" s="187"/>
      <c r="B3" s="187"/>
      <c r="C3" s="187"/>
      <c r="D3" s="187"/>
      <c r="E3" s="187"/>
      <c r="F3" s="187"/>
      <c r="G3" s="187"/>
      <c r="H3" s="187"/>
      <c r="I3" s="187"/>
    </row>
    <row r="4" spans="1:11" ht="18.75" x14ac:dyDescent="0.3">
      <c r="A4" s="197"/>
      <c r="B4" s="197"/>
      <c r="C4" s="197"/>
      <c r="D4" s="197"/>
      <c r="E4" s="197"/>
      <c r="H4" s="116" t="s">
        <v>130</v>
      </c>
      <c r="I4" s="118">
        <v>6.7557299999999998</v>
      </c>
    </row>
    <row r="5" spans="1:11" ht="12.75" customHeight="1" x14ac:dyDescent="0.2">
      <c r="A5" s="189" t="s">
        <v>0</v>
      </c>
      <c r="B5" s="189" t="s">
        <v>5</v>
      </c>
      <c r="C5" s="189" t="s">
        <v>129</v>
      </c>
      <c r="D5" s="189" t="s">
        <v>102</v>
      </c>
      <c r="E5" s="189" t="s">
        <v>103</v>
      </c>
      <c r="F5" s="201" t="s">
        <v>101</v>
      </c>
      <c r="G5" s="189" t="s">
        <v>105</v>
      </c>
      <c r="H5" s="189" t="s">
        <v>104</v>
      </c>
      <c r="I5" s="189" t="s">
        <v>131</v>
      </c>
      <c r="J5" s="198" t="s">
        <v>182</v>
      </c>
      <c r="K5" s="198" t="s">
        <v>183</v>
      </c>
    </row>
    <row r="6" spans="1:11" ht="113.25" customHeight="1" x14ac:dyDescent="0.2">
      <c r="A6" s="190"/>
      <c r="B6" s="190"/>
      <c r="C6" s="190"/>
      <c r="D6" s="190"/>
      <c r="E6" s="190"/>
      <c r="F6" s="202"/>
      <c r="G6" s="190"/>
      <c r="H6" s="190"/>
      <c r="I6" s="190"/>
      <c r="J6" s="199"/>
      <c r="K6" s="199"/>
    </row>
    <row r="7" spans="1:11" x14ac:dyDescent="0.2">
      <c r="A7" s="42">
        <f>COUNT(C8:C14)</f>
        <v>7</v>
      </c>
      <c r="B7" s="43" t="s">
        <v>1</v>
      </c>
      <c r="C7" s="44">
        <f>SUM(C8:C14)</f>
        <v>8451</v>
      </c>
      <c r="D7" s="44"/>
      <c r="E7" s="44"/>
      <c r="F7" s="44"/>
      <c r="G7" s="127">
        <f>SUM(G8:G14)</f>
        <v>1018.6</v>
      </c>
      <c r="H7" s="44"/>
      <c r="I7" s="129">
        <f>SUM(I8:I14)</f>
        <v>41913.131827148572</v>
      </c>
      <c r="J7" s="157">
        <f>SUM(J8:J14)</f>
        <v>42739.3</v>
      </c>
      <c r="K7" s="159">
        <f>I7-J7</f>
        <v>-826.16817285143043</v>
      </c>
    </row>
    <row r="8" spans="1:11" ht="15.75" x14ac:dyDescent="0.25">
      <c r="A8" s="49">
        <v>1</v>
      </c>
      <c r="B8" s="95" t="s">
        <v>133</v>
      </c>
      <c r="C8" s="114">
        <f>ИБР!C11</f>
        <v>3844</v>
      </c>
      <c r="D8" s="125">
        <f>ИНП!AI16</f>
        <v>1.0535178018212406</v>
      </c>
      <c r="E8" s="125">
        <f>ИБР!S11</f>
        <v>0.35738978437301544</v>
      </c>
      <c r="F8" s="125">
        <f>D8/E8</f>
        <v>2.9478117391337109</v>
      </c>
      <c r="G8" s="128">
        <v>0</v>
      </c>
      <c r="H8" s="126">
        <f>F8+G8/(ИНП!$D$4/$C$7*'Дотация 2022'!E8*'Дотация 2022'!C8)</f>
        <v>2.9478117391337109</v>
      </c>
      <c r="I8" s="130">
        <f>ИНП!$D$4/$C$7*('Дотация 2022'!$I$4-'Дотация 2022'!$H8)*'Дотация 2022'!$E8*'Дотация 2022'!$C8</f>
        <v>9141.4470828581398</v>
      </c>
      <c r="J8" s="156">
        <v>9402.2999999999993</v>
      </c>
      <c r="K8" s="158">
        <f t="shared" ref="K8:K14" si="0">I8-J8</f>
        <v>-260.85291714185951</v>
      </c>
    </row>
    <row r="9" spans="1:11" ht="15.75" x14ac:dyDescent="0.25">
      <c r="A9" s="49">
        <v>2</v>
      </c>
      <c r="B9" s="95" t="s">
        <v>134</v>
      </c>
      <c r="C9" s="114">
        <f>ИБР!C12</f>
        <v>520</v>
      </c>
      <c r="D9" s="125">
        <f>ИНП!AI17</f>
        <v>3.0249500925977283E-2</v>
      </c>
      <c r="E9" s="125">
        <f>ИБР!S12</f>
        <v>0.58126484166118186</v>
      </c>
      <c r="F9" s="125">
        <f t="shared" ref="F9:F14" si="1">D9/E9</f>
        <v>5.2040823318210701E-2</v>
      </c>
      <c r="G9" s="128">
        <v>33.799999999999997</v>
      </c>
      <c r="H9" s="126">
        <f>F9+G9/(ИНП!$D$4/$C$7*'Дотация 2022'!E9*'Дотация 2022'!C9)</f>
        <v>0.11603456190682057</v>
      </c>
      <c r="I9" s="130">
        <f>ИНП!$D$4/$C$7*('Дотация 2022'!$I$4-'Дотация 2022'!$H9)*'Дотация 2022'!$E9*'Дотация 2022'!$C9</f>
        <v>3506.9322523921714</v>
      </c>
      <c r="J9" s="156">
        <v>3566.7</v>
      </c>
      <c r="K9" s="158">
        <f t="shared" si="0"/>
        <v>-59.767747607828369</v>
      </c>
    </row>
    <row r="10" spans="1:11" ht="15.75" x14ac:dyDescent="0.25">
      <c r="A10" s="49">
        <v>3</v>
      </c>
      <c r="B10" s="95" t="s">
        <v>135</v>
      </c>
      <c r="C10" s="114">
        <f>ИБР!C13</f>
        <v>945</v>
      </c>
      <c r="D10" s="125">
        <f>ИНП!AI18</f>
        <v>2.8318627437915446E-2</v>
      </c>
      <c r="E10" s="125">
        <f>ИБР!S13</f>
        <v>0.63869140628060261</v>
      </c>
      <c r="F10" s="125">
        <f t="shared" si="1"/>
        <v>4.4338513340625635E-2</v>
      </c>
      <c r="G10" s="128">
        <v>46.2</v>
      </c>
      <c r="H10" s="126">
        <f>F10+G10/(ИНП!$D$4/$C$7*'Дотация 2022'!E10*'Дотация 2022'!C10)</f>
        <v>8.8142866903580475E-2</v>
      </c>
      <c r="I10" s="130">
        <f>ИНП!$D$4/$C$7*('Дотация 2022'!$I$4-'Дотация 2022'!$H10)*'Дотация 2022'!$E10*'Дотация 2022'!$C10</f>
        <v>7032.2353942820155</v>
      </c>
      <c r="J10" s="156">
        <v>7150.5</v>
      </c>
      <c r="K10" s="158">
        <f t="shared" si="0"/>
        <v>-118.26460571798452</v>
      </c>
    </row>
    <row r="11" spans="1:11" ht="15.75" x14ac:dyDescent="0.25">
      <c r="A11" s="49">
        <v>4</v>
      </c>
      <c r="B11" s="95" t="s">
        <v>136</v>
      </c>
      <c r="C11" s="114">
        <f>ИБР!C14</f>
        <v>883</v>
      </c>
      <c r="D11" s="125">
        <f>ИНП!AI19</f>
        <v>1.7062486792785971E-2</v>
      </c>
      <c r="E11" s="125">
        <f>ИБР!S14</f>
        <v>0.57169530879357933</v>
      </c>
      <c r="F11" s="125">
        <f t="shared" si="1"/>
        <v>2.9845420332015846E-2</v>
      </c>
      <c r="G11" s="128">
        <v>351.4</v>
      </c>
      <c r="H11" s="126">
        <f>F11+G11/(ИНП!$D$4/$C$7*'Дотация 2022'!E11*'Дотация 2022'!C11)</f>
        <v>0.42820439546709338</v>
      </c>
      <c r="I11" s="130">
        <f>ИНП!$D$4/$C$7*('Дотация 2022'!$I$4-'Дотация 2022'!$H11)*'Дотация 2022'!$E11*'Дотация 2022'!$C11</f>
        <v>5581.6302285618394</v>
      </c>
      <c r="J11" s="156">
        <v>5681</v>
      </c>
      <c r="K11" s="158">
        <f t="shared" si="0"/>
        <v>-99.369771438160569</v>
      </c>
    </row>
    <row r="12" spans="1:11" ht="15.75" x14ac:dyDescent="0.25">
      <c r="A12" s="49">
        <v>5</v>
      </c>
      <c r="B12" s="95" t="s">
        <v>137</v>
      </c>
      <c r="C12" s="114">
        <f>ИБР!C15</f>
        <v>953</v>
      </c>
      <c r="D12" s="125">
        <f>ИНП!AI20</f>
        <v>1.2892608649307401E-2</v>
      </c>
      <c r="E12" s="125">
        <f>ИБР!S15</f>
        <v>0.69716690400191728</v>
      </c>
      <c r="F12" s="125">
        <f t="shared" si="1"/>
        <v>1.8492858130959047E-2</v>
      </c>
      <c r="G12" s="128">
        <v>491.6</v>
      </c>
      <c r="H12" s="126">
        <f>F12+G12/(ИНП!$D$4/$C$7*'Дотация 2022'!E12*'Дотация 2022'!C12)</f>
        <v>0.44192165726171717</v>
      </c>
      <c r="I12" s="130">
        <f>ИНП!$D$4/$C$7*('Дотация 2022'!$I$4-'Дотация 2022'!$H12)*'Дотация 2022'!$E12*'Дотация 2022'!$C12</f>
        <v>7330.3190233209471</v>
      </c>
      <c r="J12" s="156">
        <v>7460</v>
      </c>
      <c r="K12" s="158">
        <f t="shared" si="0"/>
        <v>-129.68097667905295</v>
      </c>
    </row>
    <row r="13" spans="1:11" ht="15.75" x14ac:dyDescent="0.25">
      <c r="A13" s="49">
        <v>6</v>
      </c>
      <c r="B13" s="95" t="s">
        <v>138</v>
      </c>
      <c r="C13" s="114">
        <f>ИБР!C16</f>
        <v>801</v>
      </c>
      <c r="D13" s="125">
        <f>ИНП!AI21</f>
        <v>3.1737099202287511E-2</v>
      </c>
      <c r="E13" s="125">
        <f>ИБР!S16</f>
        <v>0.6503606115422037</v>
      </c>
      <c r="F13" s="125">
        <f t="shared" si="1"/>
        <v>4.8799233285406314E-2</v>
      </c>
      <c r="G13" s="128">
        <v>13</v>
      </c>
      <c r="H13" s="126">
        <f>F13+G13/(ИНП!$D$4/$C$7*'Дотация 2022'!E13*'Дотация 2022'!C13)</f>
        <v>6.3080107264784607E-2</v>
      </c>
      <c r="I13" s="130">
        <f>ИНП!$D$4/$C$7*('Дотация 2022'!$I$4-'Дотация 2022'!$H13)*'Дотация 2022'!$E13*'Дотация 2022'!$C13</f>
        <v>6092.3756298944272</v>
      </c>
      <c r="J13" s="156">
        <v>6194.4</v>
      </c>
      <c r="K13" s="158">
        <f t="shared" si="0"/>
        <v>-102.02437010557242</v>
      </c>
    </row>
    <row r="14" spans="1:11" ht="15.75" x14ac:dyDescent="0.25">
      <c r="A14" s="49">
        <v>7</v>
      </c>
      <c r="B14" s="95" t="s">
        <v>139</v>
      </c>
      <c r="C14" s="114">
        <f>ИБР!C17</f>
        <v>505</v>
      </c>
      <c r="D14" s="125">
        <f>ИНП!AI22</f>
        <v>2.6588630968925157E-2</v>
      </c>
      <c r="E14" s="125">
        <f>ИБР!S17</f>
        <v>0.55928529119431891</v>
      </c>
      <c r="F14" s="125">
        <f t="shared" si="1"/>
        <v>4.7540372306496367E-2</v>
      </c>
      <c r="G14" s="128">
        <v>82.6</v>
      </c>
      <c r="H14" s="126">
        <f>F14+G14/(ИНП!$D$4/$C$7*'Дотация 2022'!E14*'Дотация 2022'!C14)</f>
        <v>0.21490106036074835</v>
      </c>
      <c r="I14" s="130">
        <f>ИНП!$D$4/$C$7*('Дотация 2022'!$I$4-'Дотация 2022'!$H14)*'Дотация 2022'!$E14*'Дотация 2022'!$C14</f>
        <v>3228.1922158390403</v>
      </c>
      <c r="J14" s="156">
        <v>3284.4</v>
      </c>
      <c r="K14" s="158">
        <f t="shared" si="0"/>
        <v>-56.207784160959818</v>
      </c>
    </row>
  </sheetData>
  <mergeCells count="14">
    <mergeCell ref="J5:J6"/>
    <mergeCell ref="K5:K6"/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4" t="s">
        <v>9</v>
      </c>
      <c r="B1" s="204"/>
      <c r="C1" s="204"/>
      <c r="D1" s="204"/>
      <c r="E1" s="204"/>
      <c r="F1" s="204"/>
      <c r="G1" s="204"/>
      <c r="H1" s="204"/>
    </row>
    <row r="2" spans="1:13" ht="30.75" x14ac:dyDescent="0.5">
      <c r="A2" s="204" t="s">
        <v>44</v>
      </c>
      <c r="B2" s="204"/>
      <c r="C2" s="204"/>
      <c r="D2" s="204"/>
      <c r="E2" s="204"/>
      <c r="F2" s="204"/>
      <c r="G2" s="204"/>
      <c r="H2" s="204"/>
    </row>
    <row r="3" spans="1:13" ht="20.25" x14ac:dyDescent="0.3">
      <c r="A3" s="205" t="s">
        <v>4</v>
      </c>
      <c r="B3" s="205"/>
      <c r="C3" s="205"/>
      <c r="D3" s="205"/>
      <c r="E3" s="205"/>
      <c r="F3" s="205"/>
      <c r="G3" s="205"/>
      <c r="H3" s="205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4" t="s">
        <v>9</v>
      </c>
      <c r="B1" s="204"/>
      <c r="C1" s="204"/>
      <c r="D1" s="204"/>
      <c r="E1" s="204"/>
      <c r="F1" s="204"/>
      <c r="G1" s="204"/>
      <c r="H1" s="204"/>
    </row>
    <row r="2" spans="1:13" ht="30.75" x14ac:dyDescent="0.5">
      <c r="A2" s="204" t="s">
        <v>44</v>
      </c>
      <c r="B2" s="204"/>
      <c r="C2" s="204"/>
      <c r="D2" s="204"/>
      <c r="E2" s="204"/>
      <c r="F2" s="204"/>
      <c r="G2" s="204"/>
      <c r="H2" s="204"/>
    </row>
    <row r="3" spans="1:13" ht="20.25" x14ac:dyDescent="0.3">
      <c r="A3" s="205" t="s">
        <v>4</v>
      </c>
      <c r="B3" s="205"/>
      <c r="C3" s="205"/>
      <c r="D3" s="205"/>
      <c r="E3" s="205"/>
      <c r="F3" s="205"/>
      <c r="G3" s="205"/>
      <c r="H3" s="205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04" t="s">
        <v>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3" ht="30.75" x14ac:dyDescent="0.5">
      <c r="A2" s="204" t="s">
        <v>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23" ht="20.25" x14ac:dyDescent="0.3">
      <c r="A3" s="205" t="s">
        <v>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23" s="11" customFormat="1" ht="19.5" thickBot="1" x14ac:dyDescent="0.35">
      <c r="A4" s="197" t="s">
        <v>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9" t="s">
        <v>0</v>
      </c>
      <c r="B7" s="189" t="s">
        <v>5</v>
      </c>
      <c r="C7" s="189" t="s">
        <v>3</v>
      </c>
      <c r="D7" s="189" t="s">
        <v>85</v>
      </c>
      <c r="E7" s="189" t="s">
        <v>86</v>
      </c>
      <c r="F7" s="189" t="s">
        <v>88</v>
      </c>
      <c r="G7" s="189" t="s">
        <v>87</v>
      </c>
      <c r="H7" s="206" t="s">
        <v>79</v>
      </c>
      <c r="I7" s="206"/>
      <c r="J7" s="206"/>
      <c r="K7" s="206"/>
      <c r="L7" s="194" t="s">
        <v>84</v>
      </c>
      <c r="M7" s="195"/>
      <c r="N7" s="195"/>
      <c r="O7" s="196"/>
      <c r="P7" s="207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90"/>
      <c r="B8" s="190"/>
      <c r="C8" s="190"/>
      <c r="D8" s="190"/>
      <c r="E8" s="190"/>
      <c r="F8" s="190"/>
      <c r="G8" s="190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08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ИНП</vt:lpstr>
      <vt:lpstr>ИБР</vt:lpstr>
      <vt:lpstr>Дотация 2020 </vt:lpstr>
      <vt:lpstr>прил расчет К</vt:lpstr>
      <vt:lpstr>Дотация 2021</vt:lpstr>
      <vt:lpstr>Дотация 2022</vt:lpstr>
      <vt:lpstr>24</vt:lpstr>
      <vt:lpstr>28</vt:lpstr>
      <vt:lpstr>41</vt:lpstr>
      <vt:lpstr>Оценка ОМСУ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User2</cp:lastModifiedBy>
  <cp:lastPrinted>2020-01-15T09:02:42Z</cp:lastPrinted>
  <dcterms:created xsi:type="dcterms:W3CDTF">2009-04-29T07:26:33Z</dcterms:created>
  <dcterms:modified xsi:type="dcterms:W3CDTF">2020-01-27T04:20:40Z</dcterms:modified>
</cp:coreProperties>
</file>