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доки\Доходы\Дума к бюджету 2021 года\Дума (3) апрель 2021 года\"/>
    </mc:Choice>
  </mc:AlternateContent>
  <bookViews>
    <workbookView xWindow="0" yWindow="525" windowWidth="6075" windowHeight="4470" tabRatio="601" activeTab="2"/>
  </bookViews>
  <sheets>
    <sheet name="ИНП" sheetId="40" r:id="rId1"/>
    <sheet name="ИБР" sheetId="37" r:id="rId2"/>
    <sheet name="Дотация 2021" sheetId="39" r:id="rId3"/>
    <sheet name="Дотация 2022" sheetId="42" r:id="rId4"/>
    <sheet name="Дотация 2023" sheetId="43" r:id="rId5"/>
    <sheet name="прил расчет К" sheetId="41" r:id="rId6"/>
    <sheet name="24" sheetId="34" state="hidden" r:id="rId7"/>
    <sheet name="28" sheetId="32" state="hidden" r:id="rId8"/>
    <sheet name="41" sheetId="36" state="hidden" r:id="rId9"/>
  </sheets>
  <externalReferences>
    <externalReference r:id="rId10"/>
    <externalReference r:id="rId11"/>
  </externalReferences>
  <definedNames>
    <definedName name="_xlnm._FilterDatabase" localSheetId="6" hidden="1">'24'!$A$10:$H$27</definedName>
    <definedName name="_xlnm._FilterDatabase" localSheetId="7" hidden="1">'28'!$A$10:$H$38</definedName>
    <definedName name="_xlnm._FilterDatabase" localSheetId="8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6">#REF!</definedName>
    <definedName name="Data1" localSheetId="7">#REF!</definedName>
    <definedName name="Data1" localSheetId="8">#REF!</definedName>
    <definedName name="Data1" localSheetId="2">#REF!</definedName>
    <definedName name="Data1" localSheetId="3">#REF!</definedName>
    <definedName name="Data1" localSheetId="4">#REF!</definedName>
    <definedName name="Data1">#REF!</definedName>
    <definedName name="Data2" localSheetId="6">#REF!</definedName>
    <definedName name="Data2" localSheetId="7">#REF!</definedName>
    <definedName name="Data2" localSheetId="8">#REF!</definedName>
    <definedName name="Data2" localSheetId="2">#REF!</definedName>
    <definedName name="Data2" localSheetId="3">#REF!</definedName>
    <definedName name="Data2" localSheetId="4">#REF!</definedName>
    <definedName name="Data2">#REF!</definedName>
    <definedName name="Data3" localSheetId="6">#REF!</definedName>
    <definedName name="Data3" localSheetId="7">#REF!</definedName>
    <definedName name="Data3" localSheetId="8">#REF!</definedName>
    <definedName name="Data3" localSheetId="2">#REF!</definedName>
    <definedName name="Data3" localSheetId="3">#REF!</definedName>
    <definedName name="Data3" localSheetId="4">#REF!</definedName>
    <definedName name="Data3">#REF!</definedName>
    <definedName name="Economy1" localSheetId="6">#REF!</definedName>
    <definedName name="Economy1" localSheetId="7">#REF!</definedName>
    <definedName name="Economy1" localSheetId="8">#REF!</definedName>
    <definedName name="Economy1" localSheetId="2">#REF!</definedName>
    <definedName name="Economy1" localSheetId="3">#REF!</definedName>
    <definedName name="Economy1" localSheetId="4">#REF!</definedName>
    <definedName name="Economy1">#REF!</definedName>
    <definedName name="Economy2" localSheetId="6">#REF!</definedName>
    <definedName name="Economy2" localSheetId="7">#REF!</definedName>
    <definedName name="Economy2" localSheetId="8">#REF!</definedName>
    <definedName name="Economy2" localSheetId="2">#REF!</definedName>
    <definedName name="Economy2" localSheetId="3">#REF!</definedName>
    <definedName name="Economy2" localSheetId="4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6">[2]Вспомогательный!#REF!</definedName>
    <definedName name="taxes" localSheetId="7">[2]Вспомогательный!#REF!</definedName>
    <definedName name="taxes" localSheetId="8">[2]Вспомогательный!#REF!</definedName>
    <definedName name="taxes" localSheetId="2">[2]Вспомогательный!#REF!</definedName>
    <definedName name="taxes" localSheetId="3">[2]Вспомогательный!#REF!</definedName>
    <definedName name="taxes" localSheetId="4">[2]Вспомогательный!#REF!</definedName>
    <definedName name="taxes">[2]Вспомогательный!#REF!</definedName>
    <definedName name="_xlnm.Print_Area" localSheetId="6">'24'!$A$1:$H$27</definedName>
    <definedName name="_xlnm.Print_Area" localSheetId="7">'28'!$A$1:$H$38</definedName>
    <definedName name="_xlnm.Print_Area" localSheetId="8">'41'!$A$1:$G$40</definedName>
  </definedNames>
  <calcPr calcId="152511"/>
</workbook>
</file>

<file path=xl/calcChain.xml><?xml version="1.0" encoding="utf-8"?>
<calcChain xmlns="http://schemas.openxmlformats.org/spreadsheetml/2006/main">
  <c r="J7" i="39" l="1"/>
  <c r="C8" i="39" l="1"/>
  <c r="C9" i="39"/>
  <c r="C10" i="39"/>
  <c r="C11" i="39"/>
  <c r="C12" i="39"/>
  <c r="D4" i="40" l="1"/>
  <c r="H7" i="37" l="1"/>
  <c r="C14" i="43" l="1"/>
  <c r="C13" i="43"/>
  <c r="C12" i="43"/>
  <c r="C11" i="43"/>
  <c r="C10" i="43"/>
  <c r="C9" i="43"/>
  <c r="C8" i="43"/>
  <c r="G7" i="43"/>
  <c r="C14" i="42"/>
  <c r="C13" i="42"/>
  <c r="C12" i="42"/>
  <c r="C11" i="42"/>
  <c r="C10" i="42"/>
  <c r="C9" i="42"/>
  <c r="C8" i="42"/>
  <c r="G7" i="42"/>
  <c r="H10" i="37"/>
  <c r="C13" i="41"/>
  <c r="D12" i="41" s="1"/>
  <c r="E12" i="41" s="1"/>
  <c r="B11" i="37"/>
  <c r="B12" i="37"/>
  <c r="B13" i="37"/>
  <c r="B14" i="37"/>
  <c r="B15" i="37"/>
  <c r="B16" i="37"/>
  <c r="C7" i="42" l="1"/>
  <c r="A7" i="43"/>
  <c r="A7" i="42"/>
  <c r="C7" i="43"/>
  <c r="D8" i="41"/>
  <c r="D9" i="41"/>
  <c r="D6" i="41"/>
  <c r="D10" i="41"/>
  <c r="D7" i="41"/>
  <c r="D11" i="41"/>
  <c r="E10" i="41" l="1"/>
  <c r="G10" i="41" s="1"/>
  <c r="E7" i="41"/>
  <c r="G7" i="41" s="1"/>
  <c r="E8" i="41"/>
  <c r="G8" i="41" s="1"/>
  <c r="E6" i="41"/>
  <c r="G6" i="41" s="1"/>
  <c r="E11" i="41"/>
  <c r="G11" i="41" s="1"/>
  <c r="E9" i="41"/>
  <c r="G9" i="41" s="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M21" i="40" s="1"/>
  <c r="F15" i="40"/>
  <c r="E15" i="40"/>
  <c r="D15" i="40"/>
  <c r="G16" i="40" s="1"/>
  <c r="C15" i="40"/>
  <c r="G22" i="40" l="1"/>
  <c r="S16" i="40"/>
  <c r="O17" i="40"/>
  <c r="O20" i="40"/>
  <c r="M16" i="40"/>
  <c r="N18" i="40"/>
  <c r="O23" i="40"/>
  <c r="N20" i="40"/>
  <c r="M18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G15" i="40" l="1"/>
  <c r="X15" i="40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AC17" i="40"/>
  <c r="AB21" i="40"/>
  <c r="AC18" i="40"/>
  <c r="AB18" i="40"/>
  <c r="AB23" i="40"/>
  <c r="AB16" i="40"/>
  <c r="AC15" i="40" l="1"/>
  <c r="AI20" i="40" s="1"/>
  <c r="D12" i="43" s="1"/>
  <c r="AB15" i="40"/>
  <c r="AH16" i="40" s="1"/>
  <c r="D8" i="42" s="1"/>
  <c r="AA15" i="40"/>
  <c r="AH23" i="40" l="1"/>
  <c r="AG16" i="40"/>
  <c r="D8" i="39" s="1"/>
  <c r="AI24" i="40"/>
  <c r="AI19" i="40"/>
  <c r="D11" i="43" s="1"/>
  <c r="AI21" i="40"/>
  <c r="D13" i="43" s="1"/>
  <c r="AI23" i="40"/>
  <c r="AI22" i="40"/>
  <c r="D14" i="43" s="1"/>
  <c r="AI17" i="40"/>
  <c r="D9" i="43" s="1"/>
  <c r="AH17" i="40"/>
  <c r="D9" i="42" s="1"/>
  <c r="AH20" i="40"/>
  <c r="D12" i="42" s="1"/>
  <c r="AH24" i="40"/>
  <c r="AH22" i="40"/>
  <c r="D14" i="42" s="1"/>
  <c r="AH19" i="40"/>
  <c r="D11" i="42" s="1"/>
  <c r="AH21" i="40"/>
  <c r="D13" i="42" s="1"/>
  <c r="AI18" i="40"/>
  <c r="D10" i="43" s="1"/>
  <c r="AH18" i="40"/>
  <c r="D10" i="42" s="1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D8" i="43" s="1"/>
  <c r="C13" i="39" l="1"/>
  <c r="C14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G6" i="36"/>
  <c r="H10" i="36"/>
  <c r="E14" i="39" l="1"/>
  <c r="F14" i="39" s="1"/>
  <c r="H14" i="39" s="1"/>
  <c r="I14" i="39" s="1"/>
  <c r="K14" i="39" s="1"/>
  <c r="E14" i="43"/>
  <c r="F14" i="43" s="1"/>
  <c r="H14" i="43" s="1"/>
  <c r="I14" i="43" s="1"/>
  <c r="E14" i="42"/>
  <c r="F14" i="42" s="1"/>
  <c r="H14" i="42" s="1"/>
  <c r="I14" i="42" s="1"/>
  <c r="E9" i="39"/>
  <c r="F9" i="39" s="1"/>
  <c r="H9" i="39" s="1"/>
  <c r="I9" i="39" s="1"/>
  <c r="K9" i="39" s="1"/>
  <c r="E9" i="43"/>
  <c r="F9" i="43" s="1"/>
  <c r="H9" i="43" s="1"/>
  <c r="I9" i="43" s="1"/>
  <c r="E9" i="42"/>
  <c r="F9" i="42" s="1"/>
  <c r="H9" i="42" s="1"/>
  <c r="I9" i="42" s="1"/>
  <c r="E13" i="39"/>
  <c r="F13" i="39" s="1"/>
  <c r="H13" i="39" s="1"/>
  <c r="I13" i="39" s="1"/>
  <c r="K13" i="39" s="1"/>
  <c r="E13" i="43"/>
  <c r="F13" i="43" s="1"/>
  <c r="H13" i="43" s="1"/>
  <c r="I13" i="43" s="1"/>
  <c r="E13" i="42"/>
  <c r="F13" i="42" s="1"/>
  <c r="H13" i="42" s="1"/>
  <c r="I13" i="42" s="1"/>
  <c r="E8" i="39"/>
  <c r="F8" i="39" s="1"/>
  <c r="H8" i="39" s="1"/>
  <c r="I8" i="39" s="1"/>
  <c r="K8" i="39" s="1"/>
  <c r="E8" i="42"/>
  <c r="F8" i="42" s="1"/>
  <c r="H8" i="42" s="1"/>
  <c r="I8" i="42" s="1"/>
  <c r="E8" i="43"/>
  <c r="F8" i="43" s="1"/>
  <c r="H8" i="43" s="1"/>
  <c r="I8" i="43" s="1"/>
  <c r="E11" i="39"/>
  <c r="F11" i="39" s="1"/>
  <c r="H11" i="39" s="1"/>
  <c r="I11" i="39" s="1"/>
  <c r="K11" i="39" s="1"/>
  <c r="E11" i="43"/>
  <c r="F11" i="43" s="1"/>
  <c r="H11" i="43" s="1"/>
  <c r="I11" i="43" s="1"/>
  <c r="E11" i="42"/>
  <c r="F11" i="42" s="1"/>
  <c r="H11" i="42" s="1"/>
  <c r="I11" i="42" s="1"/>
  <c r="E10" i="39"/>
  <c r="F10" i="39" s="1"/>
  <c r="H10" i="39" s="1"/>
  <c r="I10" i="39" s="1"/>
  <c r="K10" i="39" s="1"/>
  <c r="E10" i="43"/>
  <c r="F10" i="43" s="1"/>
  <c r="H10" i="43" s="1"/>
  <c r="I10" i="43" s="1"/>
  <c r="E10" i="42"/>
  <c r="F10" i="42" s="1"/>
  <c r="H10" i="42" s="1"/>
  <c r="I10" i="42" s="1"/>
  <c r="E12" i="39"/>
  <c r="F12" i="39" s="1"/>
  <c r="H12" i="39" s="1"/>
  <c r="I12" i="39" s="1"/>
  <c r="K12" i="39" s="1"/>
  <c r="E12" i="42"/>
  <c r="F12" i="42" s="1"/>
  <c r="H12" i="42" s="1"/>
  <c r="I12" i="42" s="1"/>
  <c r="E12" i="43"/>
  <c r="F12" i="43" s="1"/>
  <c r="H12" i="43" s="1"/>
  <c r="I12" i="43" s="1"/>
  <c r="H16" i="36"/>
  <c r="K7" i="39" l="1"/>
  <c r="I7" i="39"/>
  <c r="I7" i="43"/>
  <c r="I7" i="42"/>
  <c r="T40" i="36"/>
  <c r="P40" i="36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K9" i="36" s="1"/>
  <c r="J10" i="36"/>
  <c r="I10" i="36"/>
  <c r="T9" i="36"/>
  <c r="S9" i="36"/>
  <c r="G9" i="36"/>
  <c r="F9" i="36"/>
  <c r="E9" i="36"/>
  <c r="D9" i="36"/>
  <c r="C9" i="36"/>
  <c r="A9" i="36"/>
  <c r="O16" i="36" l="1"/>
  <c r="O21" i="36"/>
  <c r="M10" i="36"/>
  <c r="I9" i="36"/>
  <c r="O12" i="36"/>
  <c r="M14" i="36"/>
  <c r="O17" i="36"/>
  <c r="M25" i="36"/>
  <c r="M27" i="36"/>
  <c r="O28" i="36"/>
  <c r="M29" i="36"/>
  <c r="O30" i="36"/>
  <c r="M31" i="36"/>
  <c r="O32" i="36"/>
  <c r="M33" i="36"/>
  <c r="O34" i="36"/>
  <c r="M35" i="36"/>
  <c r="O36" i="36"/>
  <c r="M37" i="36"/>
  <c r="O38" i="36"/>
  <c r="M39" i="36"/>
  <c r="O40" i="36"/>
  <c r="J9" i="36"/>
  <c r="N40" i="36" s="1"/>
  <c r="M11" i="36"/>
  <c r="O13" i="36"/>
  <c r="M15" i="36"/>
  <c r="M16" i="36"/>
  <c r="L17" i="36"/>
  <c r="O19" i="36"/>
  <c r="M21" i="36"/>
  <c r="U22" i="36"/>
  <c r="V22" i="36" s="1"/>
  <c r="L24" i="36"/>
  <c r="U24" i="36"/>
  <c r="U26" i="36"/>
  <c r="V26" i="36" s="1"/>
  <c r="U28" i="36"/>
  <c r="N29" i="36"/>
  <c r="U30" i="36"/>
  <c r="V30" i="36" s="1"/>
  <c r="L32" i="36"/>
  <c r="U32" i="36"/>
  <c r="U34" i="36"/>
  <c r="V34" i="36" s="1"/>
  <c r="U36" i="36"/>
  <c r="N37" i="36"/>
  <c r="U38" i="36"/>
  <c r="V38" i="36" s="1"/>
  <c r="L40" i="36"/>
  <c r="U40" i="36"/>
  <c r="O11" i="36"/>
  <c r="M13" i="36"/>
  <c r="O15" i="36"/>
  <c r="M19" i="36"/>
  <c r="L25" i="36"/>
  <c r="L37" i="36"/>
  <c r="H9" i="36"/>
  <c r="L20" i="36" s="1"/>
  <c r="L15" i="36"/>
  <c r="O18" i="36"/>
  <c r="M20" i="36"/>
  <c r="O22" i="36"/>
  <c r="M23" i="36"/>
  <c r="O24" i="36"/>
  <c r="O26" i="36"/>
  <c r="O10" i="36"/>
  <c r="N11" i="36"/>
  <c r="M12" i="36"/>
  <c r="O14" i="36"/>
  <c r="N15" i="36"/>
  <c r="M17" i="36"/>
  <c r="M18" i="36"/>
  <c r="L19" i="36"/>
  <c r="O20" i="36"/>
  <c r="N21" i="36"/>
  <c r="M22" i="36"/>
  <c r="O23" i="36"/>
  <c r="M24" i="36"/>
  <c r="O25" i="36"/>
  <c r="M26" i="36"/>
  <c r="O27" i="36"/>
  <c r="M28" i="36"/>
  <c r="O29" i="36"/>
  <c r="M30" i="36"/>
  <c r="O31" i="36"/>
  <c r="M32" i="36"/>
  <c r="O33" i="36"/>
  <c r="M34" i="36"/>
  <c r="O35" i="36"/>
  <c r="M36" i="36"/>
  <c r="O37" i="36"/>
  <c r="M38" i="36"/>
  <c r="O39" i="36"/>
  <c r="M40" i="36"/>
  <c r="V40" i="36"/>
  <c r="V23" i="36"/>
  <c r="V24" i="36"/>
  <c r="V25" i="36"/>
  <c r="V27" i="36"/>
  <c r="V28" i="36"/>
  <c r="V29" i="36"/>
  <c r="V31" i="36"/>
  <c r="V32" i="36"/>
  <c r="V33" i="36"/>
  <c r="V35" i="36"/>
  <c r="V36" i="36"/>
  <c r="V37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P15" i="36" l="1"/>
  <c r="U15" i="36" s="1"/>
  <c r="V15" i="36" s="1"/>
  <c r="P17" i="36"/>
  <c r="U17" i="36" s="1"/>
  <c r="V17" i="36" s="1"/>
  <c r="L21" i="36"/>
  <c r="L39" i="36"/>
  <c r="N32" i="36"/>
  <c r="N28" i="36"/>
  <c r="L14" i="36"/>
  <c r="N13" i="36"/>
  <c r="N34" i="36"/>
  <c r="N22" i="36"/>
  <c r="N39" i="36"/>
  <c r="L34" i="36"/>
  <c r="N31" i="36"/>
  <c r="L26" i="36"/>
  <c r="N23" i="36"/>
  <c r="N20" i="36"/>
  <c r="P20" i="36" s="1"/>
  <c r="U20" i="36" s="1"/>
  <c r="V20" i="36" s="1"/>
  <c r="L12" i="36"/>
  <c r="P12" i="36" s="1"/>
  <c r="U12" i="36" s="1"/>
  <c r="V12" i="36" s="1"/>
  <c r="N19" i="36"/>
  <c r="N38" i="36"/>
  <c r="L31" i="36"/>
  <c r="L27" i="36"/>
  <c r="N12" i="36"/>
  <c r="P21" i="36"/>
  <c r="U21" i="36" s="1"/>
  <c r="V21" i="36" s="1"/>
  <c r="L10" i="36"/>
  <c r="L16" i="36"/>
  <c r="P19" i="36"/>
  <c r="U19" i="36" s="1"/>
  <c r="V19" i="36" s="1"/>
  <c r="L36" i="36"/>
  <c r="L28" i="36"/>
  <c r="N25" i="36"/>
  <c r="N36" i="36"/>
  <c r="N30" i="36"/>
  <c r="N24" i="36"/>
  <c r="N18" i="36"/>
  <c r="L13" i="36"/>
  <c r="L33" i="36"/>
  <c r="N33" i="36"/>
  <c r="N16" i="36"/>
  <c r="P16" i="36" s="1"/>
  <c r="U16" i="36" s="1"/>
  <c r="V16" i="36" s="1"/>
  <c r="L11" i="36"/>
  <c r="P11" i="36" s="1"/>
  <c r="U11" i="36" s="1"/>
  <c r="V11" i="36" s="1"/>
  <c r="N26" i="36"/>
  <c r="N17" i="36"/>
  <c r="L38" i="36"/>
  <c r="N35" i="36"/>
  <c r="L30" i="36"/>
  <c r="N27" i="36"/>
  <c r="L22" i="36"/>
  <c r="L18" i="36"/>
  <c r="N14" i="36"/>
  <c r="N10" i="36"/>
  <c r="L35" i="36"/>
  <c r="L29" i="36"/>
  <c r="L23" i="36"/>
  <c r="P13" i="36" l="1"/>
  <c r="U13" i="36" s="1"/>
  <c r="V13" i="36" s="1"/>
  <c r="P18" i="36"/>
  <c r="U18" i="36" s="1"/>
  <c r="V18" i="36" s="1"/>
  <c r="P14" i="36"/>
  <c r="U14" i="36" s="1"/>
  <c r="V14" i="36" s="1"/>
  <c r="P10" i="36"/>
  <c r="U10" i="36" s="1"/>
  <c r="V10" i="36" s="1"/>
  <c r="V9" i="36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0" i="32" l="1"/>
  <c r="M38" i="32"/>
  <c r="M19" i="32"/>
  <c r="M27" i="32"/>
  <c r="M36" i="32"/>
  <c r="M17" i="32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H25" i="32"/>
  <c r="L25" i="32" s="1"/>
  <c r="M25" i="32" s="1"/>
  <c r="H30" i="32"/>
  <c r="L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H22" i="32"/>
  <c r="L22" i="32" s="1"/>
  <c r="M22" i="32" s="1"/>
  <c r="H27" i="32"/>
  <c r="L27" i="32" s="1"/>
  <c r="H33" i="32"/>
  <c r="L33" i="32" s="1"/>
  <c r="M33" i="32" s="1"/>
  <c r="H38" i="32"/>
  <c r="L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<sst xmlns="http://schemas.openxmlformats.org/spreadsheetml/2006/main" count="292" uniqueCount="168">
  <si>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</si>
  <si>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</si>
  <si>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</si>
  <si>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</si>
  <si>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</si>
  <si>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</si>
  <si>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</si>
  <si>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</si>
  <si>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</si>
  <si>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</si>
  <si>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</si>
  <si>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</si>
  <si>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</si>
  <si>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</si>
  <si>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</si>
  <si>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</si>
  <si>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</si>
  <si>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</si>
  <si>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</si>
  <si>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</si>
  <si>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</si>
  <si>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</si>
  <si>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</si>
  <si>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</si>
  <si>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</si>
  <si>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</si>
  <si>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</si>
  <si>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</si>
  <si>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</si>
  <si>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</si>
  <si>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</si>
  <si>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</si>
  <si>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</si>
  <si>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</si>
  <si>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</si>
  <si>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</si>
  <si>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</si>
  <si>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</si>
  <si>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</si>
  <si>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</si>
  <si>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</si>
  <si>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</si>
  <si>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</si>
  <si>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</si>
  <si>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</si>
  <si>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</si>
  <si>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</si>
  <si>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</si>
  <si>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</si>
  <si>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</si>
  <si>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</si>
  <si>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</si>
  <si>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</si>
  <si>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</si>
  <si>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</si>
  <si>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</si>
  <si>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</si>
  <si>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</si>
  <si>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</si>
  <si>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</si>
  <si>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</si>
  <si>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</si>
  <si>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</si>
  <si>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</si>
  <si>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</si>
  <si>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</si>
  <si>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</si>
  <si>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</si>
  <si>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</si>
  <si>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</si>
  <si>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</si>
  <si>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</si>
  <si>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</si>
  <si>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</si>
  <si>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</si>
  <si>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</si>
  <si>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</si>
  <si>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</si>
  <si>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</si>
  <si>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</si>
  <si>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</si>
  <si>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</si>
  <si>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</si>
  <si>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</si>
  <si>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</si>
  <si>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</si>
  <si>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</si>
  <si>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</si>
  <si>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</si>
  <si>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</si>
  <si>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</si>
  <si>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</si>
  <si>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</si>
  <si>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</si>
  <si>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</si>
  <si>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</si>
  <si>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</si>
  <si>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</si>
  <si>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</si>
  <si>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</si>
  <si>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</si>
  <si>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</si>
  <si>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</si>
  <si>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</si>
  <si>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</si>
  <si>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</si>
  <si>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</si>
  <si>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</si>
  <si>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</si>
  <si>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</si>
  <si>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</si>
  <si>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</si>
  <si>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</si>
  <si>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</si>
  <si>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</si>
  <si>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</si>
  <si>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</si>
  <si>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</si>
  <si>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</si>
  <si>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</si>
  <si>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2018
(поступления)</t>
  </si>
  <si>
    <t>2018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</si>
  <si>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</si>
  <si>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</si>
  <si>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</si>
  <si>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</si>
  <si>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</si>
  <si>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</si>
  <si>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</si>
  <si>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</si>
  <si>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</si>
  <si>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</si>
  <si>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</si>
  <si>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</si>
  <si>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</si>
  <si>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</si>
  <si>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</si>
  <si>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</si>
  <si>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</si>
  <si>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</si>
  <si>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</si>
  <si>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</si>
  <si>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(млн. руб)</t>
  </si>
  <si>
    <t>Шарагай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</si>
  <si>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</si>
  <si>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</si>
  <si>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</si>
  <si>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</si>
  <si>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</si>
  <si>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</si>
  <si>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Приложение 3</t>
  </si>
  <si>
    <t>Приложение 4</t>
  </si>
  <si>
    <t>РАСЧЕТ ДОТАЦИИ НА ВЫРАВНИВАНИЕ БЮДЖЕТНОЙ ОБЕСПЕЧЕННОСТИ ПОСЕЛЕНИЙ на 2022 год</t>
  </si>
  <si>
    <t>Приложение 1</t>
  </si>
  <si>
    <t>Приложение 2</t>
  </si>
  <si>
    <t>Приложение 5</t>
  </si>
  <si>
    <t>приложение 6</t>
  </si>
  <si>
    <t>на 01.01.2020</t>
  </si>
  <si>
    <t>2019
(поступления)</t>
  </si>
  <si>
    <t>1 полугодие 2020 
(поступления)</t>
  </si>
  <si>
    <t>2019
(начисления)</t>
  </si>
  <si>
    <t>1 полугодие 2020
(начисления)</t>
  </si>
  <si>
    <t>РАСЧЕТ ДОТАЦИИ НА ВЫРАВНИВАНИЕ БЮДЖЕТНОЙ ОБЕСПЕЧЕННОСТИ ПОСЕЛЕНИЙ  на 2021 год</t>
  </si>
  <si>
    <t>РАСЧЕТ ДОТАЦИИ НА ВЫРАВНИВАНИЕ БЮДЖЕТНОЙ ОБЕСПЕЧЕННОСТИ ПОСЕЛЕНИЙ на 2023 год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</si>
  <si>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2021 - 2023 годы, в соответствии с п.11 Приложения 9 к Закону Иркутской области от 22.10.2013 №74-ОЗ</t>
  </si>
  <si>
    <t>Фонд оплаты труда 2019г.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</si>
  <si>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рублей. Утверждено в бюджете</t>
    </r>
  </si>
  <si>
    <t>Уточнение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</si>
</sst>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0.00000000"/>
    <numFmt numFmtId="175" formatCode="0.0000000"/>
    <numFmt numFmtId="176" formatCode="#,##0.00000"/>
    <numFmt numFmtId="177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02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165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5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2" fontId="74" fillId="27" borderId="0" xfId="13" applyNumberFormat="1" applyFont="1" applyFill="1" applyBorder="1" applyAlignment="1">
      <alignment vertical="center"/>
    </xf>
    <xf numFmtId="173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4" fontId="6" fillId="0" borderId="0" xfId="13" applyNumberFormat="1"/>
    <xf numFmtId="176" fontId="58" fillId="27" borderId="1" xfId="9" applyNumberFormat="1" applyFont="1" applyFill="1" applyBorder="1" applyAlignment="1" applyProtection="1">
      <alignment shrinkToFit="1"/>
      <protection locked="0"/>
    </xf>
    <xf numFmtId="165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70" fontId="59" fillId="2" borderId="1" xfId="9" applyNumberFormat="1" applyFont="1" applyFill="1" applyBorder="1" applyAlignment="1">
      <alignment horizontal="center" shrinkToFit="1"/>
    </xf>
    <xf numFmtId="170" fontId="58" fillId="27" borderId="1" xfId="9" applyNumberFormat="1" applyFont="1" applyFill="1" applyBorder="1" applyAlignment="1" applyProtection="1">
      <alignment shrinkToFit="1"/>
      <protection locked="0"/>
    </xf>
    <xf numFmtId="177" fontId="6" fillId="26" borderId="1" xfId="13" applyNumberFormat="1" applyFill="1" applyBorder="1" applyAlignment="1">
      <alignment vertical="center"/>
    </xf>
    <xf numFmtId="177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7" fontId="83" fillId="0" borderId="1" xfId="13" applyNumberFormat="1" applyFont="1" applyBorder="1"/>
    <xf numFmtId="0" fontId="83" fillId="2" borderId="1" xfId="13" applyFont="1" applyFill="1" applyBorder="1"/>
    <xf numFmtId="167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7" fontId="83" fillId="31" borderId="1" xfId="13" applyNumberFormat="1" applyFont="1" applyFill="1" applyBorder="1"/>
    <xf numFmtId="175" fontId="83" fillId="31" borderId="1" xfId="13" applyNumberFormat="1" applyFont="1" applyFill="1" applyBorder="1"/>
    <xf numFmtId="0" fontId="83" fillId="0" borderId="0" xfId="13" applyFont="1"/>
    <xf numFmtId="174" fontId="83" fillId="0" borderId="0" xfId="13" applyNumberFormat="1" applyFont="1"/>
    <xf numFmtId="170" fontId="58" fillId="0" borderId="1" xfId="0" applyNumberFormat="1" applyFont="1" applyBorder="1"/>
    <xf numFmtId="4" fontId="58" fillId="27" borderId="1" xfId="9" applyNumberFormat="1" applyFont="1" applyFill="1" applyBorder="1" applyAlignment="1" applyProtection="1">
      <alignment shrinkToFit="1"/>
      <protection locked="0"/>
    </xf>
    <xf numFmtId="0" fontId="73" fillId="27" borderId="1" xfId="13" applyFont="1" applyFill="1" applyBorder="1" applyAlignment="1">
      <alignment horizontal="center" vertical="center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75" fillId="27" borderId="1" xfId="13" applyFont="1" applyFill="1" applyBorder="1" applyAlignment="1">
      <alignment horizontal="center" vertical="center" wrapText="1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1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3" ySplit="14" topLeftCell="Q15" activePane="bottomRight" state="frozen"/>
      <selection pane="topRight" activeCell="C1" sqref="C1"/>
      <selection pane="bottomLeft" activeCell="A6" sqref="A6"/>
      <selection pane="bottomRight" activeCell="AG22" sqref="AG22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2" width="10.42578125" style="70" customWidth="1"/>
    <col min="33" max="33" width="14.140625" style="70" customWidth="1"/>
    <col min="34" max="34" width="16.42578125" style="70" customWidth="1"/>
    <col min="35" max="35" width="15" style="70" customWidth="1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69" t="s">
        <v>153</v>
      </c>
      <c r="AH1" s="169"/>
      <c r="AI1" s="169"/>
    </row>
    <row r="2" spans="1:38" s="68" customFormat="1" ht="26.25" customHeight="1" x14ac:dyDescent="0.2">
      <c r="B2" s="178" t="s">
        <v>106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8" s="68" customFormat="1" ht="26.25" customHeight="1" x14ac:dyDescent="0.2">
      <c r="B3" s="156" t="s">
        <v>123</v>
      </c>
      <c r="C3" s="157"/>
      <c r="D3" s="71">
        <v>2021</v>
      </c>
      <c r="E3" s="71">
        <v>2022</v>
      </c>
      <c r="F3" s="71">
        <v>2023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58"/>
      <c r="C4" s="159"/>
      <c r="D4" s="99">
        <f>G9+M9+R9+X9</f>
        <v>12379.3</v>
      </c>
      <c r="E4" s="99">
        <f t="shared" ref="E4" si="0">H9+N9+S9+Y9</f>
        <v>12511</v>
      </c>
      <c r="F4" s="99">
        <f>I9+O9+T9+Z9</f>
        <v>12565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</row>
    <row r="7" spans="1:38" ht="45" customHeight="1" x14ac:dyDescent="0.2">
      <c r="B7" s="179" t="s">
        <v>107</v>
      </c>
      <c r="C7" s="154" t="s">
        <v>108</v>
      </c>
      <c r="D7" s="154" t="s">
        <v>108</v>
      </c>
      <c r="E7" s="154" t="s">
        <v>108</v>
      </c>
      <c r="F7" s="154" t="s">
        <v>108</v>
      </c>
      <c r="G7" s="161"/>
      <c r="H7" s="161"/>
      <c r="I7" s="161"/>
      <c r="J7" s="154" t="s">
        <v>108</v>
      </c>
      <c r="K7" s="154" t="s">
        <v>108</v>
      </c>
      <c r="L7" s="154" t="s">
        <v>108</v>
      </c>
      <c r="M7" s="160"/>
      <c r="N7" s="160"/>
      <c r="O7" s="160"/>
      <c r="P7" s="154" t="s">
        <v>108</v>
      </c>
      <c r="Q7" s="154" t="s">
        <v>108</v>
      </c>
      <c r="R7" s="174"/>
      <c r="S7" s="174"/>
      <c r="T7" s="174"/>
      <c r="U7" s="154" t="s">
        <v>108</v>
      </c>
      <c r="V7" s="154" t="s">
        <v>108</v>
      </c>
      <c r="W7" s="154" t="s">
        <v>108</v>
      </c>
      <c r="X7" s="160"/>
      <c r="Y7" s="160"/>
      <c r="Z7" s="160"/>
    </row>
    <row r="8" spans="1:38" x14ac:dyDescent="0.2">
      <c r="B8" s="179"/>
      <c r="C8" s="154"/>
      <c r="D8" s="154"/>
      <c r="E8" s="154"/>
      <c r="F8" s="154"/>
      <c r="G8" s="71">
        <v>2021</v>
      </c>
      <c r="H8" s="71">
        <v>2022</v>
      </c>
      <c r="I8" s="71">
        <v>2023</v>
      </c>
      <c r="J8" s="154"/>
      <c r="K8" s="154"/>
      <c r="L8" s="154"/>
      <c r="M8" s="71">
        <v>2021</v>
      </c>
      <c r="N8" s="71">
        <v>2022</v>
      </c>
      <c r="O8" s="71">
        <v>2023</v>
      </c>
      <c r="P8" s="154"/>
      <c r="Q8" s="154"/>
      <c r="R8" s="71">
        <v>2021</v>
      </c>
      <c r="S8" s="71">
        <v>2022</v>
      </c>
      <c r="T8" s="71">
        <v>2023</v>
      </c>
      <c r="U8" s="154"/>
      <c r="V8" s="154"/>
      <c r="W8" s="154"/>
      <c r="X8" s="71">
        <v>2021</v>
      </c>
      <c r="Y8" s="71">
        <v>2022</v>
      </c>
      <c r="Z8" s="71">
        <v>2023</v>
      </c>
    </row>
    <row r="9" spans="1:38" ht="45.75" customHeight="1" x14ac:dyDescent="0.2">
      <c r="B9" s="179"/>
      <c r="C9" s="154"/>
      <c r="D9" s="154"/>
      <c r="E9" s="154"/>
      <c r="F9" s="154"/>
      <c r="G9" s="72">
        <v>5907.3</v>
      </c>
      <c r="H9" s="72">
        <v>5935</v>
      </c>
      <c r="I9" s="72">
        <v>5954</v>
      </c>
      <c r="J9" s="154"/>
      <c r="K9" s="154"/>
      <c r="L9" s="154"/>
      <c r="M9" s="72">
        <v>56</v>
      </c>
      <c r="N9" s="72">
        <v>56</v>
      </c>
      <c r="O9" s="72">
        <v>56</v>
      </c>
      <c r="P9" s="154"/>
      <c r="Q9" s="154"/>
      <c r="R9" s="72">
        <v>918</v>
      </c>
      <c r="S9" s="72">
        <v>932</v>
      </c>
      <c r="T9" s="72">
        <v>937</v>
      </c>
      <c r="U9" s="154"/>
      <c r="V9" s="154"/>
      <c r="W9" s="154"/>
      <c r="X9" s="72">
        <v>5498</v>
      </c>
      <c r="Y9" s="72">
        <v>5588</v>
      </c>
      <c r="Z9" s="72">
        <v>5618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62" t="s">
        <v>109</v>
      </c>
      <c r="B12" s="162" t="s">
        <v>110</v>
      </c>
      <c r="C12" s="78" t="s">
        <v>111</v>
      </c>
      <c r="D12" s="163" t="s">
        <v>112</v>
      </c>
      <c r="E12" s="164"/>
      <c r="F12" s="164"/>
      <c r="G12" s="164"/>
      <c r="H12" s="164"/>
      <c r="I12" s="165"/>
      <c r="J12" s="163" t="s">
        <v>113</v>
      </c>
      <c r="K12" s="164"/>
      <c r="L12" s="164"/>
      <c r="M12" s="164"/>
      <c r="N12" s="164"/>
      <c r="O12" s="165"/>
      <c r="P12" s="163" t="s">
        <v>114</v>
      </c>
      <c r="Q12" s="164"/>
      <c r="R12" s="164"/>
      <c r="S12" s="164"/>
      <c r="T12" s="165"/>
      <c r="U12" s="163" t="s">
        <v>115</v>
      </c>
      <c r="V12" s="164"/>
      <c r="W12" s="164"/>
      <c r="X12" s="164"/>
      <c r="Y12" s="164"/>
      <c r="Z12" s="165"/>
      <c r="AA12" s="170" t="s">
        <v>116</v>
      </c>
      <c r="AB12" s="170"/>
      <c r="AC12" s="171"/>
      <c r="AD12" s="175" t="s">
        <v>117</v>
      </c>
      <c r="AE12" s="170"/>
      <c r="AF12" s="171"/>
      <c r="AG12" s="177" t="s">
        <v>118</v>
      </c>
      <c r="AH12" s="177"/>
      <c r="AI12" s="177"/>
    </row>
    <row r="13" spans="1:38" s="74" customFormat="1" ht="28.5" customHeight="1" x14ac:dyDescent="0.2">
      <c r="A13" s="162"/>
      <c r="B13" s="162"/>
      <c r="C13" s="79" t="s">
        <v>119</v>
      </c>
      <c r="D13" s="80"/>
      <c r="E13" s="81"/>
      <c r="F13" s="81"/>
      <c r="G13" s="166"/>
      <c r="H13" s="167"/>
      <c r="I13" s="168"/>
      <c r="J13" s="80"/>
      <c r="K13" s="81"/>
      <c r="L13" s="81"/>
      <c r="M13" s="166"/>
      <c r="N13" s="167"/>
      <c r="O13" s="168"/>
      <c r="P13" s="80"/>
      <c r="Q13" s="81"/>
      <c r="R13" s="166"/>
      <c r="S13" s="167"/>
      <c r="T13" s="168"/>
      <c r="U13" s="80"/>
      <c r="V13" s="81"/>
      <c r="W13" s="81"/>
      <c r="X13" s="166"/>
      <c r="Y13" s="167"/>
      <c r="Z13" s="168"/>
      <c r="AA13" s="172"/>
      <c r="AB13" s="172"/>
      <c r="AC13" s="173"/>
      <c r="AD13" s="176"/>
      <c r="AE13" s="172"/>
      <c r="AF13" s="173"/>
      <c r="AG13" s="177"/>
      <c r="AH13" s="177"/>
      <c r="AI13" s="177"/>
    </row>
    <row r="14" spans="1:38" ht="38.25" x14ac:dyDescent="0.2">
      <c r="A14" s="162"/>
      <c r="B14" s="162"/>
      <c r="C14" s="79" t="s">
        <v>157</v>
      </c>
      <c r="D14" s="82" t="s">
        <v>120</v>
      </c>
      <c r="E14" s="83" t="s">
        <v>158</v>
      </c>
      <c r="F14" s="84" t="s">
        <v>159</v>
      </c>
      <c r="G14" s="71">
        <v>2021</v>
      </c>
      <c r="H14" s="71">
        <v>2022</v>
      </c>
      <c r="I14" s="85">
        <v>2023</v>
      </c>
      <c r="J14" s="82" t="s">
        <v>121</v>
      </c>
      <c r="K14" s="83" t="s">
        <v>160</v>
      </c>
      <c r="L14" s="84" t="s">
        <v>161</v>
      </c>
      <c r="M14" s="71">
        <v>2021</v>
      </c>
      <c r="N14" s="71">
        <v>2022</v>
      </c>
      <c r="O14" s="85">
        <v>2023</v>
      </c>
      <c r="P14" s="82" t="s">
        <v>121</v>
      </c>
      <c r="Q14" s="83" t="s">
        <v>160</v>
      </c>
      <c r="R14" s="71">
        <v>2021</v>
      </c>
      <c r="S14" s="71">
        <v>2022</v>
      </c>
      <c r="T14" s="85">
        <v>2023</v>
      </c>
      <c r="U14" s="82" t="s">
        <v>121</v>
      </c>
      <c r="V14" s="83" t="s">
        <v>160</v>
      </c>
      <c r="W14" s="84" t="s">
        <v>161</v>
      </c>
      <c r="X14" s="71">
        <v>2021</v>
      </c>
      <c r="Y14" s="71">
        <v>2022</v>
      </c>
      <c r="Z14" s="85">
        <v>2023</v>
      </c>
      <c r="AA14" s="86">
        <v>2021</v>
      </c>
      <c r="AB14" s="71">
        <v>2022</v>
      </c>
      <c r="AC14" s="71">
        <v>2023</v>
      </c>
      <c r="AD14" s="71">
        <v>2021</v>
      </c>
      <c r="AE14" s="71">
        <v>2022</v>
      </c>
      <c r="AF14" s="71">
        <v>2023</v>
      </c>
      <c r="AG14" s="71">
        <v>2021</v>
      </c>
      <c r="AH14" s="71">
        <v>2022</v>
      </c>
      <c r="AI14" s="71">
        <v>2023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8347</v>
      </c>
      <c r="D15" s="89">
        <f t="shared" si="1"/>
        <v>73468</v>
      </c>
      <c r="E15" s="88">
        <f t="shared" si="1"/>
        <v>82248</v>
      </c>
      <c r="F15" s="88">
        <f t="shared" si="1"/>
        <v>38492</v>
      </c>
      <c r="G15" s="88">
        <f>SUM(G16:G24)</f>
        <v>5907.3</v>
      </c>
      <c r="H15" s="88">
        <f t="shared" si="1"/>
        <v>5935</v>
      </c>
      <c r="I15" s="90">
        <f t="shared" si="1"/>
        <v>5954</v>
      </c>
      <c r="J15" s="89">
        <f t="shared" si="1"/>
        <v>21</v>
      </c>
      <c r="K15" s="88">
        <f t="shared" si="1"/>
        <v>21</v>
      </c>
      <c r="L15" s="88">
        <f t="shared" si="1"/>
        <v>227</v>
      </c>
      <c r="M15" s="88">
        <f t="shared" si="1"/>
        <v>56</v>
      </c>
      <c r="N15" s="88">
        <f t="shared" si="1"/>
        <v>56</v>
      </c>
      <c r="O15" s="90">
        <f t="shared" si="1"/>
        <v>56</v>
      </c>
      <c r="P15" s="89">
        <f t="shared" si="1"/>
        <v>1325</v>
      </c>
      <c r="Q15" s="88">
        <f t="shared" si="1"/>
        <v>1149</v>
      </c>
      <c r="R15" s="88">
        <f t="shared" si="1"/>
        <v>917.99999999999989</v>
      </c>
      <c r="S15" s="88">
        <f t="shared" si="1"/>
        <v>931.99999999999989</v>
      </c>
      <c r="T15" s="90">
        <f t="shared" si="1"/>
        <v>937</v>
      </c>
      <c r="U15" s="89">
        <f t="shared" si="1"/>
        <v>5550</v>
      </c>
      <c r="V15" s="88">
        <f t="shared" si="1"/>
        <v>5607</v>
      </c>
      <c r="W15" s="88">
        <f t="shared" si="1"/>
        <v>5411</v>
      </c>
      <c r="X15" s="88">
        <f t="shared" si="1"/>
        <v>5497.9999999999991</v>
      </c>
      <c r="Y15" s="88">
        <f t="shared" si="1"/>
        <v>5587.9999999999991</v>
      </c>
      <c r="Z15" s="90">
        <f t="shared" si="1"/>
        <v>5617.9999999999991</v>
      </c>
      <c r="AA15" s="91">
        <f t="shared" si="1"/>
        <v>12379.299999999997</v>
      </c>
      <c r="AB15" s="88">
        <f t="shared" si="1"/>
        <v>12510.999999999998</v>
      </c>
      <c r="AC15" s="88">
        <f t="shared" si="1"/>
        <v>12564.999999999996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128</v>
      </c>
      <c r="C16" s="96">
        <v>3791</v>
      </c>
      <c r="D16" s="97">
        <v>57343</v>
      </c>
      <c r="E16" s="98">
        <v>62434</v>
      </c>
      <c r="F16" s="72">
        <v>27843</v>
      </c>
      <c r="G16" s="99">
        <f>$G$9*((0.3*D16/$D$15)+(0.35*E16/$E$15)+(0.35*F16/$F$15))</f>
        <v>4448.2491862182005</v>
      </c>
      <c r="H16" s="99">
        <f t="shared" ref="H16:H24" si="2">$H$9*((0.3*D16/$D$15)+(0.35*E16/$E$15)+(0.35*F16/$F$15))</f>
        <v>4469.1075313942101</v>
      </c>
      <c r="I16" s="100">
        <f t="shared" ref="I16:I24" si="3">$I$9*((0.3*D16/$D$15)+(0.35*E16/$E$15)+(0.35*F16/$F$15))</f>
        <v>4483.4146995654801</v>
      </c>
      <c r="J16" s="97">
        <v>0</v>
      </c>
      <c r="K16" s="98">
        <v>0</v>
      </c>
      <c r="L16" s="98">
        <v>0</v>
      </c>
      <c r="M16" s="101">
        <f t="shared" ref="M16:M24" si="4">$M$9*((0.3*J16/$J$15)+(0.35*K16/$K$15)+(0.35*L16/$L$15))</f>
        <v>0</v>
      </c>
      <c r="N16" s="101">
        <f t="shared" ref="N16:N24" si="5">$N$9*((0.3*J16/$J$15)+(0.35*K16/$K$15)+(0.35*L16/$L$15))</f>
        <v>0</v>
      </c>
      <c r="O16" s="102">
        <f t="shared" ref="O16:O24" si="6">$O$9*((0.3*J16/$J$15)+(0.35*K16/$K$15)+(0.35*L16/$L$15))</f>
        <v>0</v>
      </c>
      <c r="P16" s="97">
        <v>991</v>
      </c>
      <c r="Q16" s="98">
        <v>772</v>
      </c>
      <c r="R16" s="119">
        <f t="shared" ref="R16:R24" si="7">$R$9*((0.45*P16/$P$15)+(0.55*Q16/$Q$15))</f>
        <v>648.20417616631357</v>
      </c>
      <c r="S16" s="119">
        <f t="shared" ref="S16:S24" si="8">$S$9*((0.45*P16/$P$15)+(0.55*Q16/$Q$15))</f>
        <v>658.0896429052334</v>
      </c>
      <c r="T16" s="119">
        <f t="shared" ref="T16:T24" si="9">$T$9*((0.45*P16/$P$15)+(0.55*Q16/$Q$15))</f>
        <v>661.6201667405619</v>
      </c>
      <c r="U16" s="97">
        <v>3083</v>
      </c>
      <c r="V16" s="98">
        <v>3037</v>
      </c>
      <c r="W16" s="98">
        <v>3905</v>
      </c>
      <c r="X16" s="101">
        <f t="shared" ref="X16:X24" si="10">$X$9*((0.3*U16/$U$15)+(0.35*V16/$V$15)+(0.35*W16/$W$15))</f>
        <v>3347.2456344608918</v>
      </c>
      <c r="Y16" s="101">
        <f t="shared" ref="Y16:Y24" si="11">$Y$9*((0.3*U16/$U$15)+(0.35*V16/$V$15)+(0.35*W16/$W$15))</f>
        <v>3402.0386695830234</v>
      </c>
      <c r="Z16" s="102">
        <f t="shared" ref="Z16:Z24" si="12">$Z$9*((0.3*U16/$U$15)+(0.35*V16/$V$15)+(0.35*W16/$W$15))</f>
        <v>3420.3030146237338</v>
      </c>
      <c r="AA16" s="104">
        <f>G16+M16+X16+R16</f>
        <v>8443.6989968454054</v>
      </c>
      <c r="AB16" s="99">
        <f>H16+N16+Y16+S16</f>
        <v>8529.2358438824667</v>
      </c>
      <c r="AC16" s="99">
        <f>I16+O16+Z16+T16</f>
        <v>8565.3378809297756</v>
      </c>
      <c r="AD16" s="131">
        <v>0.55369999999999997</v>
      </c>
      <c r="AE16" s="131">
        <v>0.55369999999999997</v>
      </c>
      <c r="AF16" s="131">
        <v>0.55369999999999997</v>
      </c>
      <c r="AG16" s="103">
        <f>AA16/C16*$C$15/$AA$15*AD16</f>
        <v>0.83154892777056022</v>
      </c>
      <c r="AH16" s="103">
        <f>AB16/C16*$C$15/$AB$15*AE16</f>
        <v>0.83113056112344608</v>
      </c>
      <c r="AI16" s="103">
        <f>AC16/C16*$C$15/$AC$15*AF16</f>
        <v>0.83106149157060316</v>
      </c>
      <c r="AK16" s="105"/>
      <c r="AL16" s="105"/>
    </row>
    <row r="17" spans="1:48" ht="15.75" x14ac:dyDescent="0.25">
      <c r="A17" s="94">
        <v>2</v>
      </c>
      <c r="B17" s="95" t="s">
        <v>129</v>
      </c>
      <c r="C17" s="96">
        <v>505</v>
      </c>
      <c r="D17" s="97">
        <v>2456</v>
      </c>
      <c r="E17" s="98">
        <v>2963</v>
      </c>
      <c r="F17" s="72">
        <v>1513</v>
      </c>
      <c r="G17" s="99">
        <f t="shared" ref="G17:G24" si="13">$G$9*((0.3*D17/$D$15)+(0.35*E17/$E$15)+(0.35*F17/$F$15))</f>
        <v>214.99664115162778</v>
      </c>
      <c r="H17" s="99">
        <f t="shared" si="2"/>
        <v>216.00478479760818</v>
      </c>
      <c r="I17" s="100">
        <f t="shared" si="3"/>
        <v>216.69629126958031</v>
      </c>
      <c r="J17" s="97">
        <v>5</v>
      </c>
      <c r="K17" s="98">
        <v>10</v>
      </c>
      <c r="L17" s="98">
        <v>116</v>
      </c>
      <c r="M17" s="101">
        <f t="shared" si="4"/>
        <v>23.349192364170335</v>
      </c>
      <c r="N17" s="101">
        <f t="shared" si="5"/>
        <v>23.349192364170335</v>
      </c>
      <c r="O17" s="102">
        <f t="shared" si="6"/>
        <v>23.349192364170335</v>
      </c>
      <c r="P17" s="97">
        <v>14</v>
      </c>
      <c r="Q17" s="98">
        <v>18</v>
      </c>
      <c r="R17" s="119">
        <f t="shared" si="7"/>
        <v>12.274490763091778</v>
      </c>
      <c r="S17" s="119">
        <f t="shared" si="8"/>
        <v>12.461683432681413</v>
      </c>
      <c r="T17" s="119">
        <f t="shared" si="9"/>
        <v>12.528537957534855</v>
      </c>
      <c r="U17" s="97">
        <v>426</v>
      </c>
      <c r="V17" s="98">
        <v>347</v>
      </c>
      <c r="W17" s="98">
        <v>163</v>
      </c>
      <c r="X17" s="101">
        <f t="shared" si="10"/>
        <v>303.65887870259019</v>
      </c>
      <c r="Y17" s="101">
        <f t="shared" si="11"/>
        <v>308.62964972536815</v>
      </c>
      <c r="Z17" s="102">
        <f t="shared" si="12"/>
        <v>310.28657339962746</v>
      </c>
      <c r="AA17" s="104">
        <f t="shared" ref="AA17:AC24" si="14">G17+M17+X17+R17</f>
        <v>554.27920298148001</v>
      </c>
      <c r="AB17" s="99">
        <f t="shared" si="14"/>
        <v>560.44531031982808</v>
      </c>
      <c r="AC17" s="99">
        <f t="shared" si="14"/>
        <v>562.86059499091289</v>
      </c>
      <c r="AD17" s="131">
        <v>4.2099999999999999E-2</v>
      </c>
      <c r="AE17" s="131">
        <v>4.2099999999999999E-2</v>
      </c>
      <c r="AF17" s="131">
        <v>4.2099999999999999E-2</v>
      </c>
      <c r="AG17" s="103">
        <f t="shared" ref="AG17:AG24" si="15">AA17/C17*$C$15/$AA$15*AD17</f>
        <v>3.1156856012629523E-2</v>
      </c>
      <c r="AH17" s="103">
        <f t="shared" ref="AH17:AH24" si="16">AB17/C17*$C$15/$AB$15*AE17</f>
        <v>3.1171833407684389E-2</v>
      </c>
      <c r="AI17" s="103">
        <f t="shared" ref="AI17:AI24" si="17">AC17/C17*$C$15/$AC$15*AF17</f>
        <v>3.1171627925596131E-2</v>
      </c>
      <c r="AK17" s="105"/>
      <c r="AL17" s="105"/>
    </row>
    <row r="18" spans="1:48" ht="15.75" x14ac:dyDescent="0.25">
      <c r="A18" s="94">
        <v>3</v>
      </c>
      <c r="B18" s="95" t="s">
        <v>130</v>
      </c>
      <c r="C18" s="96">
        <v>953</v>
      </c>
      <c r="D18" s="97">
        <v>3089</v>
      </c>
      <c r="E18" s="98">
        <v>3484</v>
      </c>
      <c r="F18" s="72">
        <v>1666</v>
      </c>
      <c r="G18" s="99">
        <f t="shared" si="13"/>
        <v>251.58097645392121</v>
      </c>
      <c r="H18" s="99">
        <f t="shared" si="2"/>
        <v>252.76066819935036</v>
      </c>
      <c r="I18" s="100">
        <f t="shared" si="3"/>
        <v>253.56984304278552</v>
      </c>
      <c r="J18" s="97">
        <v>0</v>
      </c>
      <c r="K18" s="98">
        <v>0</v>
      </c>
      <c r="L18" s="98">
        <v>0</v>
      </c>
      <c r="M18" s="101">
        <f t="shared" si="4"/>
        <v>0</v>
      </c>
      <c r="N18" s="101">
        <f t="shared" si="5"/>
        <v>0</v>
      </c>
      <c r="O18" s="102">
        <f t="shared" si="6"/>
        <v>0</v>
      </c>
      <c r="P18" s="97">
        <v>66</v>
      </c>
      <c r="Q18" s="98">
        <v>106</v>
      </c>
      <c r="R18" s="119">
        <f t="shared" si="7"/>
        <v>67.156168875314066</v>
      </c>
      <c r="S18" s="119">
        <f t="shared" si="8"/>
        <v>68.180337028096631</v>
      </c>
      <c r="T18" s="119">
        <f t="shared" si="9"/>
        <v>68.546111368376117</v>
      </c>
      <c r="U18" s="97">
        <v>622</v>
      </c>
      <c r="V18" s="98">
        <v>664</v>
      </c>
      <c r="W18" s="98">
        <v>403</v>
      </c>
      <c r="X18" s="101">
        <f t="shared" si="10"/>
        <v>556.05167551416992</v>
      </c>
      <c r="Y18" s="101">
        <f t="shared" si="11"/>
        <v>565.15401287253212</v>
      </c>
      <c r="Z18" s="102">
        <f t="shared" si="12"/>
        <v>568.18812532531945</v>
      </c>
      <c r="AA18" s="104">
        <f t="shared" si="14"/>
        <v>874.78882084340512</v>
      </c>
      <c r="AB18" s="99">
        <f t="shared" si="14"/>
        <v>886.09501809997914</v>
      </c>
      <c r="AC18" s="99">
        <f t="shared" si="14"/>
        <v>890.30407973648107</v>
      </c>
      <c r="AD18" s="131">
        <v>4.4400000000000002E-2</v>
      </c>
      <c r="AE18" s="131">
        <v>4.4400000000000002E-2</v>
      </c>
      <c r="AF18" s="131">
        <v>4.4400000000000002E-2</v>
      </c>
      <c r="AG18" s="103">
        <f t="shared" si="15"/>
        <v>2.7480689154077035E-2</v>
      </c>
      <c r="AH18" s="103">
        <f t="shared" si="16"/>
        <v>2.7542842185883803E-2</v>
      </c>
      <c r="AI18" s="103">
        <f t="shared" si="17"/>
        <v>2.7554742288104565E-2</v>
      </c>
      <c r="AK18" s="105"/>
      <c r="AL18" s="105"/>
    </row>
    <row r="19" spans="1:48" ht="15.75" x14ac:dyDescent="0.25">
      <c r="A19" s="94">
        <v>4</v>
      </c>
      <c r="B19" s="95" t="s">
        <v>131</v>
      </c>
      <c r="C19" s="96">
        <v>878</v>
      </c>
      <c r="D19" s="97">
        <v>2705</v>
      </c>
      <c r="E19" s="98">
        <v>3291</v>
      </c>
      <c r="F19" s="72">
        <v>1941</v>
      </c>
      <c r="G19" s="99">
        <f t="shared" si="13"/>
        <v>252.23782924740229</v>
      </c>
      <c r="H19" s="99">
        <f t="shared" si="2"/>
        <v>253.42060105011299</v>
      </c>
      <c r="I19" s="100">
        <f t="shared" si="3"/>
        <v>254.23188856821781</v>
      </c>
      <c r="J19" s="97">
        <v>12</v>
      </c>
      <c r="K19" s="98">
        <v>7</v>
      </c>
      <c r="L19" s="98">
        <v>7</v>
      </c>
      <c r="M19" s="101">
        <f t="shared" si="4"/>
        <v>16.737738619676946</v>
      </c>
      <c r="N19" s="101">
        <f t="shared" si="5"/>
        <v>16.737738619676946</v>
      </c>
      <c r="O19" s="102">
        <f t="shared" si="6"/>
        <v>16.737738619676946</v>
      </c>
      <c r="P19" s="97">
        <v>95</v>
      </c>
      <c r="Q19" s="98">
        <v>109</v>
      </c>
      <c r="R19" s="119">
        <f t="shared" si="7"/>
        <v>77.515879599980295</v>
      </c>
      <c r="S19" s="119">
        <f t="shared" si="8"/>
        <v>78.698038983857998</v>
      </c>
      <c r="T19" s="119">
        <f t="shared" si="9"/>
        <v>79.120238763814314</v>
      </c>
      <c r="U19" s="97">
        <v>310</v>
      </c>
      <c r="V19" s="98">
        <v>338</v>
      </c>
      <c r="W19" s="98">
        <v>128</v>
      </c>
      <c r="X19" s="101">
        <f t="shared" si="10"/>
        <v>253.64920881519336</v>
      </c>
      <c r="Y19" s="101">
        <f t="shared" si="11"/>
        <v>257.80134209881783</v>
      </c>
      <c r="Z19" s="102">
        <f t="shared" si="12"/>
        <v>259.18538652669264</v>
      </c>
      <c r="AA19" s="104">
        <f t="shared" si="14"/>
        <v>600.14065628225285</v>
      </c>
      <c r="AB19" s="99">
        <f t="shared" si="14"/>
        <v>606.65772075246582</v>
      </c>
      <c r="AC19" s="99">
        <f t="shared" si="14"/>
        <v>609.27525247840163</v>
      </c>
      <c r="AD19" s="131">
        <v>3.7400000000000003E-2</v>
      </c>
      <c r="AE19" s="131">
        <v>3.7400000000000003E-2</v>
      </c>
      <c r="AF19" s="131">
        <v>3.7400000000000003E-2</v>
      </c>
      <c r="AG19" s="103">
        <f t="shared" si="15"/>
        <v>1.7237110308781681E-2</v>
      </c>
      <c r="AH19" s="103">
        <f t="shared" si="16"/>
        <v>1.7240871096534747E-2</v>
      </c>
      <c r="AI19" s="103">
        <f t="shared" si="17"/>
        <v>1.7240844910624394E-2</v>
      </c>
      <c r="AK19" s="105"/>
      <c r="AL19" s="105"/>
    </row>
    <row r="20" spans="1:48" ht="15.75" x14ac:dyDescent="0.25">
      <c r="A20" s="94">
        <v>5</v>
      </c>
      <c r="B20" s="95" t="s">
        <v>132</v>
      </c>
      <c r="C20" s="96">
        <v>925</v>
      </c>
      <c r="D20" s="97">
        <v>2894</v>
      </c>
      <c r="E20" s="98">
        <v>3555</v>
      </c>
      <c r="F20" s="72">
        <v>2385</v>
      </c>
      <c r="G20" s="99">
        <f t="shared" si="13"/>
        <v>287.28228800622247</v>
      </c>
      <c r="H20" s="99">
        <f t="shared" si="2"/>
        <v>288.62938725254008</v>
      </c>
      <c r="I20" s="100">
        <f t="shared" si="3"/>
        <v>289.5533903456822</v>
      </c>
      <c r="J20" s="97">
        <v>0</v>
      </c>
      <c r="K20" s="98">
        <v>0</v>
      </c>
      <c r="L20" s="98">
        <v>0</v>
      </c>
      <c r="M20" s="101">
        <f t="shared" si="4"/>
        <v>0</v>
      </c>
      <c r="N20" s="101">
        <f t="shared" si="5"/>
        <v>0</v>
      </c>
      <c r="O20" s="102">
        <f t="shared" si="6"/>
        <v>0</v>
      </c>
      <c r="P20" s="97">
        <v>14</v>
      </c>
      <c r="Q20" s="98">
        <v>19</v>
      </c>
      <c r="R20" s="119">
        <f t="shared" si="7"/>
        <v>12.713916350559142</v>
      </c>
      <c r="S20" s="119">
        <f t="shared" si="8"/>
        <v>12.907810499696209</v>
      </c>
      <c r="T20" s="119">
        <f t="shared" si="9"/>
        <v>12.977058410102305</v>
      </c>
      <c r="U20" s="97">
        <v>257</v>
      </c>
      <c r="V20" s="98">
        <v>247</v>
      </c>
      <c r="W20" s="98">
        <v>224</v>
      </c>
      <c r="X20" s="101">
        <f t="shared" si="10"/>
        <v>240.80757819272532</v>
      </c>
      <c r="Y20" s="101">
        <f t="shared" si="11"/>
        <v>244.74949926172229</v>
      </c>
      <c r="Z20" s="102">
        <f t="shared" si="12"/>
        <v>246.06347295138795</v>
      </c>
      <c r="AA20" s="104">
        <f t="shared" si="14"/>
        <v>540.80378254950688</v>
      </c>
      <c r="AB20" s="99">
        <f t="shared" si="14"/>
        <v>546.28669701395859</v>
      </c>
      <c r="AC20" s="99">
        <f t="shared" si="14"/>
        <v>548.59392170717251</v>
      </c>
      <c r="AD20" s="131">
        <v>3.61E-2</v>
      </c>
      <c r="AE20" s="131">
        <v>3.61E-2</v>
      </c>
      <c r="AF20" s="131">
        <v>3.61E-2</v>
      </c>
      <c r="AG20" s="103">
        <f t="shared" si="15"/>
        <v>1.423113424464777E-2</v>
      </c>
      <c r="AH20" s="103">
        <f t="shared" si="16"/>
        <v>1.4224089734233095E-2</v>
      </c>
      <c r="AI20" s="103">
        <f t="shared" si="17"/>
        <v>1.422277635801557E-2</v>
      </c>
      <c r="AK20" s="105"/>
      <c r="AL20" s="105"/>
    </row>
    <row r="21" spans="1:48" ht="15.75" x14ac:dyDescent="0.25">
      <c r="A21" s="94">
        <v>6</v>
      </c>
      <c r="B21" s="95" t="s">
        <v>133</v>
      </c>
      <c r="C21" s="96">
        <v>801</v>
      </c>
      <c r="D21" s="97">
        <v>3047</v>
      </c>
      <c r="E21" s="98">
        <v>3838</v>
      </c>
      <c r="F21" s="72">
        <v>1882</v>
      </c>
      <c r="G21" s="99">
        <f t="shared" si="13"/>
        <v>271.06892786101059</v>
      </c>
      <c r="H21" s="99">
        <f t="shared" si="2"/>
        <v>272.34000082188101</v>
      </c>
      <c r="I21" s="100">
        <f t="shared" si="3"/>
        <v>273.21185592139506</v>
      </c>
      <c r="J21" s="97">
        <v>4</v>
      </c>
      <c r="K21" s="98">
        <v>4</v>
      </c>
      <c r="L21" s="98">
        <v>104</v>
      </c>
      <c r="M21" s="101">
        <f>$M$9*((0.3*J21/$J$15)+(0.35*K21/$K$15)+(0.35*L21/$L$15))</f>
        <v>15.913069016152715</v>
      </c>
      <c r="N21" s="101">
        <f t="shared" si="5"/>
        <v>15.913069016152715</v>
      </c>
      <c r="O21" s="102">
        <f t="shared" si="6"/>
        <v>15.913069016152715</v>
      </c>
      <c r="P21" s="97">
        <v>62</v>
      </c>
      <c r="Q21" s="98">
        <v>70</v>
      </c>
      <c r="R21" s="119">
        <f t="shared" si="7"/>
        <v>50.089753386866349</v>
      </c>
      <c r="S21" s="119">
        <f t="shared" si="8"/>
        <v>50.853649408016814</v>
      </c>
      <c r="T21" s="119">
        <f t="shared" si="9"/>
        <v>51.126469415570554</v>
      </c>
      <c r="U21" s="97">
        <v>560</v>
      </c>
      <c r="V21" s="98">
        <v>652</v>
      </c>
      <c r="W21" s="98">
        <v>419</v>
      </c>
      <c r="X21" s="101">
        <f t="shared" si="10"/>
        <v>539.19763253434689</v>
      </c>
      <c r="Y21" s="101">
        <f t="shared" si="11"/>
        <v>548.02407613712808</v>
      </c>
      <c r="Z21" s="102">
        <f t="shared" si="12"/>
        <v>550.96622400472188</v>
      </c>
      <c r="AA21" s="104">
        <f t="shared" si="14"/>
        <v>876.26938279837657</v>
      </c>
      <c r="AB21" s="99">
        <f t="shared" si="14"/>
        <v>887.13079538317868</v>
      </c>
      <c r="AC21" s="99">
        <f t="shared" si="14"/>
        <v>891.21761835784025</v>
      </c>
      <c r="AD21" s="131">
        <v>4.7800000000000002E-2</v>
      </c>
      <c r="AE21" s="131">
        <v>4.7800000000000002E-2</v>
      </c>
      <c r="AF21" s="131">
        <v>4.7800000000000002E-2</v>
      </c>
      <c r="AG21" s="103">
        <f t="shared" si="15"/>
        <v>3.525878509371614E-2</v>
      </c>
      <c r="AH21" s="103">
        <f t="shared" si="16"/>
        <v>3.5320059401931572E-2</v>
      </c>
      <c r="AI21" s="103">
        <f t="shared" si="17"/>
        <v>3.5330278795823997E-2</v>
      </c>
      <c r="AK21" s="105"/>
      <c r="AL21" s="105"/>
    </row>
    <row r="22" spans="1:48" ht="15.75" x14ac:dyDescent="0.25">
      <c r="A22" s="94">
        <v>7</v>
      </c>
      <c r="B22" s="95" t="s">
        <v>134</v>
      </c>
      <c r="C22" s="96">
        <v>494</v>
      </c>
      <c r="D22" s="97">
        <v>1934</v>
      </c>
      <c r="E22" s="98">
        <v>2683</v>
      </c>
      <c r="F22" s="72">
        <v>1262</v>
      </c>
      <c r="G22" s="99">
        <f t="shared" si="13"/>
        <v>181.88415106161551</v>
      </c>
      <c r="H22" s="99">
        <f t="shared" si="2"/>
        <v>182.73702648429708</v>
      </c>
      <c r="I22" s="100">
        <f t="shared" si="3"/>
        <v>183.32203128685842</v>
      </c>
      <c r="J22" s="97">
        <v>0</v>
      </c>
      <c r="K22" s="98">
        <v>0</v>
      </c>
      <c r="L22" s="98">
        <v>0</v>
      </c>
      <c r="M22" s="101">
        <f t="shared" si="4"/>
        <v>0</v>
      </c>
      <c r="N22" s="101">
        <f t="shared" si="5"/>
        <v>0</v>
      </c>
      <c r="O22" s="102">
        <f t="shared" si="6"/>
        <v>0</v>
      </c>
      <c r="P22" s="97">
        <v>83</v>
      </c>
      <c r="Q22" s="98">
        <v>55</v>
      </c>
      <c r="R22" s="119">
        <f t="shared" si="7"/>
        <v>50.045614857874774</v>
      </c>
      <c r="S22" s="119">
        <f t="shared" si="8"/>
        <v>50.808837742417531</v>
      </c>
      <c r="T22" s="119">
        <f t="shared" si="9"/>
        <v>51.081417344039941</v>
      </c>
      <c r="U22" s="97">
        <v>292</v>
      </c>
      <c r="V22" s="98">
        <v>322</v>
      </c>
      <c r="W22" s="98">
        <v>169</v>
      </c>
      <c r="X22" s="101">
        <f t="shared" si="10"/>
        <v>257.38939178008189</v>
      </c>
      <c r="Y22" s="101">
        <f t="shared" si="11"/>
        <v>261.60275032140737</v>
      </c>
      <c r="Z22" s="102">
        <f t="shared" si="12"/>
        <v>263.00720316851584</v>
      </c>
      <c r="AA22" s="104">
        <f t="shared" si="14"/>
        <v>489.3191576995722</v>
      </c>
      <c r="AB22" s="99">
        <f t="shared" si="14"/>
        <v>495.148614548122</v>
      </c>
      <c r="AC22" s="99">
        <f t="shared" si="14"/>
        <v>497.41065179941421</v>
      </c>
      <c r="AD22" s="131">
        <v>3.85E-2</v>
      </c>
      <c r="AE22" s="131">
        <v>3.85E-2</v>
      </c>
      <c r="AF22" s="131">
        <v>3.85E-2</v>
      </c>
      <c r="AG22" s="103">
        <f t="shared" si="15"/>
        <v>2.5713448550500097E-2</v>
      </c>
      <c r="AH22" s="103">
        <f t="shared" si="16"/>
        <v>2.5745879851945225E-2</v>
      </c>
      <c r="AI22" s="103">
        <f t="shared" si="17"/>
        <v>2.5752345029640831E-2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13"/>
        <v>0</v>
      </c>
      <c r="H23" s="99">
        <f t="shared" si="2"/>
        <v>0</v>
      </c>
      <c r="I23" s="100">
        <f t="shared" si="3"/>
        <v>0</v>
      </c>
      <c r="J23" s="97"/>
      <c r="K23" s="98"/>
      <c r="L23" s="98"/>
      <c r="M23" s="101">
        <f t="shared" si="4"/>
        <v>0</v>
      </c>
      <c r="N23" s="101">
        <f t="shared" si="5"/>
        <v>0</v>
      </c>
      <c r="O23" s="102">
        <f t="shared" si="6"/>
        <v>0</v>
      </c>
      <c r="P23" s="97"/>
      <c r="Q23" s="98"/>
      <c r="R23" s="119">
        <f t="shared" si="7"/>
        <v>0</v>
      </c>
      <c r="S23" s="119">
        <f t="shared" si="8"/>
        <v>0</v>
      </c>
      <c r="T23" s="119">
        <f t="shared" si="9"/>
        <v>0</v>
      </c>
      <c r="U23" s="97"/>
      <c r="V23" s="98"/>
      <c r="W23" s="98"/>
      <c r="X23" s="101">
        <f t="shared" si="10"/>
        <v>0</v>
      </c>
      <c r="Y23" s="101">
        <f t="shared" si="11"/>
        <v>0</v>
      </c>
      <c r="Z23" s="102">
        <f t="shared" si="12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13"/>
        <v>0</v>
      </c>
      <c r="H24" s="99">
        <f t="shared" si="2"/>
        <v>0</v>
      </c>
      <c r="I24" s="100">
        <f t="shared" si="3"/>
        <v>0</v>
      </c>
      <c r="J24" s="97"/>
      <c r="K24" s="98"/>
      <c r="L24" s="98"/>
      <c r="M24" s="101">
        <f t="shared" si="4"/>
        <v>0</v>
      </c>
      <c r="N24" s="101">
        <f t="shared" si="5"/>
        <v>0</v>
      </c>
      <c r="O24" s="102">
        <f t="shared" si="6"/>
        <v>0</v>
      </c>
      <c r="P24" s="97"/>
      <c r="Q24" s="98"/>
      <c r="R24" s="119">
        <f t="shared" si="7"/>
        <v>0</v>
      </c>
      <c r="S24" s="119">
        <f t="shared" si="8"/>
        <v>0</v>
      </c>
      <c r="T24" s="119">
        <f t="shared" si="9"/>
        <v>0</v>
      </c>
      <c r="U24" s="97"/>
      <c r="V24" s="98"/>
      <c r="W24" s="98"/>
      <c r="X24" s="101">
        <f t="shared" si="10"/>
        <v>0</v>
      </c>
      <c r="Y24" s="101">
        <f t="shared" si="11"/>
        <v>0</v>
      </c>
      <c r="Z24" s="102">
        <f t="shared" si="12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  <mergeCell ref="A12:A14"/>
    <mergeCell ref="B12:B14"/>
    <mergeCell ref="D12:I12"/>
    <mergeCell ref="J12:O12"/>
    <mergeCell ref="P12:T12"/>
    <mergeCell ref="G13:I13"/>
    <mergeCell ref="M13:O13"/>
    <mergeCell ref="R13:T13"/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G8" sqref="G8:G9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154</v>
      </c>
    </row>
    <row r="2" spans="1:19" ht="25.5" x14ac:dyDescent="0.35">
      <c r="A2" s="180" t="s">
        <v>100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30.75" x14ac:dyDescent="0.5">
      <c r="A3" s="180" t="s">
        <v>99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20.25" x14ac:dyDescent="0.3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ht="19.5" thickBot="1" x14ac:dyDescent="0.35">
      <c r="A5" s="191" t="s">
        <v>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5"/>
      <c r="O6" s="135"/>
      <c r="P6" s="135"/>
      <c r="Q6" s="135"/>
      <c r="R6" s="135"/>
      <c r="S6" s="10"/>
    </row>
    <row r="7" spans="1:19" ht="19.5" thickBot="1" x14ac:dyDescent="0.35">
      <c r="A7" s="10"/>
      <c r="B7" s="10"/>
      <c r="C7" s="10"/>
      <c r="D7" s="61">
        <v>0.1</v>
      </c>
      <c r="E7" s="61">
        <v>0.3</v>
      </c>
      <c r="F7" s="61">
        <v>0.2</v>
      </c>
      <c r="G7" s="61">
        <v>0.05</v>
      </c>
      <c r="H7" s="62">
        <f>1-D7-E7-F7-G7</f>
        <v>0.35000000000000009</v>
      </c>
      <c r="I7" s="67"/>
      <c r="J7" s="10"/>
      <c r="K7" s="10"/>
      <c r="L7" s="10"/>
      <c r="M7" s="10"/>
      <c r="N7" s="135"/>
      <c r="O7" s="135"/>
      <c r="P7" s="135"/>
      <c r="Q7" s="135"/>
      <c r="R7" s="135"/>
      <c r="S7" s="10"/>
    </row>
    <row r="8" spans="1:19" ht="12.75" customHeight="1" x14ac:dyDescent="0.2">
      <c r="A8" s="183" t="s">
        <v>0</v>
      </c>
      <c r="B8" s="183" t="s">
        <v>5</v>
      </c>
      <c r="C8" s="183" t="s">
        <v>3</v>
      </c>
      <c r="D8" s="183" t="s">
        <v>85</v>
      </c>
      <c r="E8" s="183" t="s">
        <v>144</v>
      </c>
      <c r="F8" s="183" t="s">
        <v>146</v>
      </c>
      <c r="G8" s="183" t="s">
        <v>127</v>
      </c>
      <c r="H8" s="183" t="s">
        <v>145</v>
      </c>
      <c r="I8" s="185" t="s">
        <v>79</v>
      </c>
      <c r="J8" s="186"/>
      <c r="K8" s="186"/>
      <c r="L8" s="186"/>
      <c r="M8" s="187"/>
      <c r="N8" s="188" t="s">
        <v>84</v>
      </c>
      <c r="O8" s="189"/>
      <c r="P8" s="189"/>
      <c r="Q8" s="189"/>
      <c r="R8" s="190"/>
      <c r="S8" s="182" t="s">
        <v>89</v>
      </c>
    </row>
    <row r="9" spans="1:19" ht="114" customHeight="1" x14ac:dyDescent="0.2">
      <c r="A9" s="184"/>
      <c r="B9" s="184"/>
      <c r="C9" s="184"/>
      <c r="D9" s="184"/>
      <c r="E9" s="184"/>
      <c r="F9" s="184"/>
      <c r="G9" s="184"/>
      <c r="H9" s="184"/>
      <c r="I9" s="41" t="s">
        <v>80</v>
      </c>
      <c r="J9" s="41" t="s">
        <v>147</v>
      </c>
      <c r="K9" s="41" t="s">
        <v>148</v>
      </c>
      <c r="L9" s="41" t="s">
        <v>149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182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8347</v>
      </c>
      <c r="D10" s="44">
        <f t="shared" si="0"/>
        <v>50796</v>
      </c>
      <c r="E10" s="44">
        <f t="shared" si="0"/>
        <v>18576</v>
      </c>
      <c r="F10" s="44">
        <f t="shared" si="0"/>
        <v>13999</v>
      </c>
      <c r="G10" s="44">
        <f t="shared" si="0"/>
        <v>865</v>
      </c>
      <c r="H10" s="44">
        <f t="shared" si="0"/>
        <v>904</v>
      </c>
      <c r="I10" s="56">
        <f t="shared" ref="I10:R10" si="1">MAX(I11:I18)</f>
        <v>17.053465346534654</v>
      </c>
      <c r="J10" s="56">
        <f t="shared" si="1"/>
        <v>5.8653465346534652</v>
      </c>
      <c r="K10" s="56">
        <f t="shared" si="1"/>
        <v>2.9443418623054605</v>
      </c>
      <c r="L10" s="56">
        <f t="shared" si="1"/>
        <v>0.30640083945435465</v>
      </c>
      <c r="M10" s="56">
        <f t="shared" si="1"/>
        <v>0.28714107365792757</v>
      </c>
      <c r="N10" s="56">
        <f t="shared" si="1"/>
        <v>0.1</v>
      </c>
      <c r="O10" s="56">
        <f t="shared" si="1"/>
        <v>0.3</v>
      </c>
      <c r="P10" s="56">
        <f t="shared" si="1"/>
        <v>0.2</v>
      </c>
      <c r="Q10" s="56">
        <f t="shared" si="1"/>
        <v>0.05</v>
      </c>
      <c r="R10" s="56">
        <f t="shared" si="1"/>
        <v>0.35000000000000009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3791</v>
      </c>
      <c r="D11" s="64">
        <v>12704</v>
      </c>
      <c r="E11" s="64">
        <v>1730</v>
      </c>
      <c r="F11" s="64">
        <v>11162</v>
      </c>
      <c r="G11" s="64">
        <v>311</v>
      </c>
      <c r="H11" s="64">
        <v>59</v>
      </c>
      <c r="I11" s="53">
        <f>IF($C11=0, ,D11/$C11)</f>
        <v>3.3510946979688736</v>
      </c>
      <c r="J11" s="53">
        <f>IF($C11=0, ,E11/$C11)</f>
        <v>0.45634397256660514</v>
      </c>
      <c r="K11" s="53">
        <f>IF($C11=0, ,F11/$C11)</f>
        <v>2.9443418623054605</v>
      </c>
      <c r="L11" s="53">
        <f>IF($C11=0, ,G11/$C11)</f>
        <v>8.2036402004748085E-2</v>
      </c>
      <c r="M11" s="53">
        <f>IF($C11=0, ,H11/$C11)</f>
        <v>1.556317594302295E-2</v>
      </c>
      <c r="N11" s="53">
        <f>I11/I$10*D$7</f>
        <v>1.9650520465330716E-2</v>
      </c>
      <c r="O11" s="53">
        <f>J11/J$10*E$7</f>
        <v>2.3341023579959715E-2</v>
      </c>
      <c r="P11" s="53">
        <f>K11/K$10*F$7</f>
        <v>0.2</v>
      </c>
      <c r="Q11" s="53">
        <f>L11/L$10*G$7</f>
        <v>1.3387104642213175E-2</v>
      </c>
      <c r="R11" s="53">
        <f>M11/M$10*H$7</f>
        <v>1.8970158154897762E-2</v>
      </c>
      <c r="S11" s="54">
        <f>IF(C11=0,0,N11+O11+P11+Q11+R11)</f>
        <v>0.27534880684240137</v>
      </c>
    </row>
    <row r="12" spans="1:19" x14ac:dyDescent="0.2">
      <c r="A12" s="49">
        <v>2</v>
      </c>
      <c r="B12" s="63" t="str">
        <f>ИНП!B17</f>
        <v>Биритское</v>
      </c>
      <c r="C12" s="96">
        <v>505</v>
      </c>
      <c r="D12" s="64">
        <v>8612</v>
      </c>
      <c r="E12" s="64">
        <v>2962</v>
      </c>
      <c r="F12" s="64">
        <v>620</v>
      </c>
      <c r="G12" s="64">
        <v>11</v>
      </c>
      <c r="H12" s="64">
        <v>1</v>
      </c>
      <c r="I12" s="53">
        <f t="shared" ref="I12:L13" si="2">IF($C12=0, ,D12/$C12)</f>
        <v>17.053465346534654</v>
      </c>
      <c r="J12" s="53">
        <f t="shared" si="2"/>
        <v>5.8653465346534652</v>
      </c>
      <c r="K12" s="53">
        <f t="shared" si="2"/>
        <v>1.2277227722772277</v>
      </c>
      <c r="L12" s="53">
        <f t="shared" si="2"/>
        <v>2.1782178217821781E-2</v>
      </c>
      <c r="M12" s="53">
        <f t="shared" ref="M12:M18" si="3">IF($C12=0, ,H12/$C12)</f>
        <v>1.9801980198019802E-3</v>
      </c>
      <c r="N12" s="53">
        <f t="shared" ref="N12:N18" si="4">I12/I$10*D$7</f>
        <v>0.1</v>
      </c>
      <c r="O12" s="53">
        <f t="shared" ref="O12:O18" si="5">J12/J$10*E$7</f>
        <v>0.3</v>
      </c>
      <c r="P12" s="53">
        <f t="shared" ref="P12:P18" si="6">K12/K$10*F$7</f>
        <v>8.3395395622701485E-2</v>
      </c>
      <c r="Q12" s="53">
        <f t="shared" ref="Q12:Q18" si="7">L12/L$10*G$7</f>
        <v>3.5545232605452325E-3</v>
      </c>
      <c r="R12" s="53">
        <f t="shared" ref="R12:R18" si="8">M12/M$10*H$7</f>
        <v>2.4136891950064581E-3</v>
      </c>
      <c r="S12" s="54">
        <f t="shared" ref="S12:S18" si="9">IF(C12=0,0,N12+O12+P12+Q12+R12)</f>
        <v>0.48936360807825319</v>
      </c>
    </row>
    <row r="13" spans="1:19" x14ac:dyDescent="0.2">
      <c r="A13" s="49">
        <v>3</v>
      </c>
      <c r="B13" s="63" t="str">
        <f>ИНП!B18</f>
        <v>Заславское</v>
      </c>
      <c r="C13" s="96">
        <v>953</v>
      </c>
      <c r="D13" s="64">
        <v>6860</v>
      </c>
      <c r="E13" s="64">
        <v>3102</v>
      </c>
      <c r="F13" s="64">
        <v>474</v>
      </c>
      <c r="G13" s="64">
        <v>292</v>
      </c>
      <c r="H13" s="64">
        <v>179</v>
      </c>
      <c r="I13" s="53">
        <f t="shared" si="2"/>
        <v>7.1983210912906612</v>
      </c>
      <c r="J13" s="53">
        <f t="shared" si="2"/>
        <v>3.2549842602308501</v>
      </c>
      <c r="K13" s="53">
        <f t="shared" si="2"/>
        <v>0.49737670514165794</v>
      </c>
      <c r="L13" s="53">
        <f t="shared" si="2"/>
        <v>0.30640083945435465</v>
      </c>
      <c r="M13" s="53">
        <f t="shared" si="3"/>
        <v>0.18782791185729275</v>
      </c>
      <c r="N13" s="53">
        <f t="shared" si="4"/>
        <v>4.2210312948232513E-2</v>
      </c>
      <c r="O13" s="53">
        <f t="shared" si="5"/>
        <v>0.16648552175049755</v>
      </c>
      <c r="P13" s="53">
        <f t="shared" si="6"/>
        <v>3.3785255136929315E-2</v>
      </c>
      <c r="Q13" s="53">
        <f t="shared" si="7"/>
        <v>0.05</v>
      </c>
      <c r="R13" s="53">
        <f t="shared" si="8"/>
        <v>0.22894589169213933</v>
      </c>
      <c r="S13" s="54">
        <f t="shared" si="9"/>
        <v>0.52142698152779876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878</v>
      </c>
      <c r="D14" s="64">
        <v>6057</v>
      </c>
      <c r="E14" s="64">
        <v>2735</v>
      </c>
      <c r="F14" s="64">
        <v>1586</v>
      </c>
      <c r="G14" s="64">
        <v>106</v>
      </c>
      <c r="H14" s="64">
        <v>97</v>
      </c>
      <c r="I14" s="53">
        <f t="shared" ref="I14:I18" si="10">IF($C14=0, ,D14/$C14)</f>
        <v>6.8986332574031888</v>
      </c>
      <c r="J14" s="53">
        <f t="shared" ref="J14:J18" si="11">IF($C14=0, ,E14/$C14)</f>
        <v>3.1150341685649203</v>
      </c>
      <c r="K14" s="53">
        <f t="shared" ref="K14:K18" si="12">IF($C14=0, ,F14/$C14)</f>
        <v>1.8063781321184511</v>
      </c>
      <c r="L14" s="53">
        <f t="shared" ref="L14:L18" si="13">IF($C14=0, ,G14/$C14)</f>
        <v>0.12072892938496584</v>
      </c>
      <c r="M14" s="53">
        <f t="shared" si="3"/>
        <v>0.11047835990888383</v>
      </c>
      <c r="N14" s="53">
        <f t="shared" si="4"/>
        <v>4.0452970215845457E-2</v>
      </c>
      <c r="O14" s="53">
        <f t="shared" si="5"/>
        <v>0.15932737222740898</v>
      </c>
      <c r="P14" s="53">
        <f t="shared" si="6"/>
        <v>0.12270165738865879</v>
      </c>
      <c r="Q14" s="53">
        <f t="shared" si="7"/>
        <v>1.9701142072580901E-2</v>
      </c>
      <c r="R14" s="53">
        <f t="shared" si="8"/>
        <v>0.13466351391502432</v>
      </c>
      <c r="S14" s="54">
        <f t="shared" si="9"/>
        <v>0.47684665581951846</v>
      </c>
    </row>
    <row r="15" spans="1:19" x14ac:dyDescent="0.2">
      <c r="A15" s="49">
        <v>5</v>
      </c>
      <c r="B15" s="63" t="str">
        <f>ИНП!B20</f>
        <v>Кумарейское</v>
      </c>
      <c r="C15" s="96">
        <v>925</v>
      </c>
      <c r="D15" s="64">
        <v>6301</v>
      </c>
      <c r="E15" s="64">
        <v>5198</v>
      </c>
      <c r="F15" s="64">
        <v>0</v>
      </c>
      <c r="G15" s="64">
        <v>132</v>
      </c>
      <c r="H15" s="64">
        <v>200</v>
      </c>
      <c r="I15" s="53">
        <f t="shared" si="10"/>
        <v>6.811891891891892</v>
      </c>
      <c r="J15" s="53">
        <f t="shared" si="11"/>
        <v>5.6194594594594598</v>
      </c>
      <c r="K15" s="53">
        <f t="shared" si="12"/>
        <v>0</v>
      </c>
      <c r="L15" s="53">
        <f t="shared" si="13"/>
        <v>0.14270270270270272</v>
      </c>
      <c r="M15" s="53">
        <f t="shared" si="3"/>
        <v>0.21621621621621623</v>
      </c>
      <c r="N15" s="53">
        <f t="shared" si="4"/>
        <v>3.9944326583899271E-2</v>
      </c>
      <c r="O15" s="53">
        <f t="shared" si="5"/>
        <v>0.28742339909119113</v>
      </c>
      <c r="P15" s="53">
        <f t="shared" si="6"/>
        <v>0</v>
      </c>
      <c r="Q15" s="53">
        <f t="shared" si="7"/>
        <v>2.3286930766382826E-2</v>
      </c>
      <c r="R15" s="53">
        <f t="shared" si="8"/>
        <v>0.26354876615746192</v>
      </c>
      <c r="S15" s="54">
        <f t="shared" si="9"/>
        <v>0.61420342259893523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4732</v>
      </c>
      <c r="E16" s="64">
        <v>2201</v>
      </c>
      <c r="F16" s="64">
        <v>141</v>
      </c>
      <c r="G16" s="64">
        <v>8</v>
      </c>
      <c r="H16" s="64">
        <v>230</v>
      </c>
      <c r="I16" s="53">
        <f t="shared" si="10"/>
        <v>5.9076154806491887</v>
      </c>
      <c r="J16" s="53">
        <f t="shared" si="11"/>
        <v>2.7478152309612982</v>
      </c>
      <c r="K16" s="53">
        <f t="shared" si="12"/>
        <v>0.17602996254681649</v>
      </c>
      <c r="L16" s="53">
        <f t="shared" si="13"/>
        <v>9.9875156054931337E-3</v>
      </c>
      <c r="M16" s="53">
        <f t="shared" si="3"/>
        <v>0.28714107365792757</v>
      </c>
      <c r="N16" s="53">
        <f t="shared" si="4"/>
        <v>3.464173034983558E-2</v>
      </c>
      <c r="O16" s="53">
        <f t="shared" si="5"/>
        <v>0.14054490462209204</v>
      </c>
      <c r="P16" s="53">
        <f t="shared" si="6"/>
        <v>1.1957168751388305E-2</v>
      </c>
      <c r="Q16" s="53">
        <f t="shared" si="7"/>
        <v>1.6298120500059859E-3</v>
      </c>
      <c r="R16" s="53">
        <f t="shared" si="8"/>
        <v>0.35000000000000009</v>
      </c>
      <c r="S16" s="54">
        <f t="shared" si="9"/>
        <v>0.53877361577332206</v>
      </c>
    </row>
    <row r="17" spans="1:19" x14ac:dyDescent="0.2">
      <c r="A17" s="49">
        <v>7</v>
      </c>
      <c r="B17" s="63" t="s">
        <v>143</v>
      </c>
      <c r="C17" s="96">
        <v>494</v>
      </c>
      <c r="D17" s="64">
        <v>5530</v>
      </c>
      <c r="E17" s="64">
        <v>648</v>
      </c>
      <c r="F17" s="64">
        <v>16</v>
      </c>
      <c r="G17" s="64">
        <v>5</v>
      </c>
      <c r="H17" s="64">
        <v>138</v>
      </c>
      <c r="I17" s="53">
        <f t="shared" si="10"/>
        <v>11.194331983805668</v>
      </c>
      <c r="J17" s="53">
        <f t="shared" si="11"/>
        <v>1.3117408906882591</v>
      </c>
      <c r="K17" s="53">
        <f t="shared" si="12"/>
        <v>3.2388663967611336E-2</v>
      </c>
      <c r="L17" s="53">
        <f t="shared" si="13"/>
        <v>1.0121457489878543E-2</v>
      </c>
      <c r="M17" s="53">
        <f t="shared" si="3"/>
        <v>0.2793522267206478</v>
      </c>
      <c r="N17" s="53">
        <f t="shared" si="4"/>
        <v>6.5642564466115452E-2</v>
      </c>
      <c r="O17" s="53">
        <f t="shared" si="5"/>
        <v>6.7092756562886977E-2</v>
      </c>
      <c r="P17" s="53">
        <f t="shared" si="6"/>
        <v>2.2000613707438554E-3</v>
      </c>
      <c r="Q17" s="53">
        <f t="shared" si="7"/>
        <v>1.651669347235317E-3</v>
      </c>
      <c r="R17" s="53">
        <f t="shared" si="8"/>
        <v>0.34050607287449408</v>
      </c>
      <c r="S17" s="54">
        <f t="shared" si="9"/>
        <v>0.47709312462147568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I8:M8"/>
    <mergeCell ref="N8:R8"/>
    <mergeCell ref="A5:S5"/>
    <mergeCell ref="A8:A9"/>
    <mergeCell ref="B8:B9"/>
    <mergeCell ref="C8:C9"/>
    <mergeCell ref="D8:D9"/>
    <mergeCell ref="E8:E9"/>
    <mergeCell ref="H8:H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5" sqref="I5:I6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5.42578125" style="117" customWidth="1"/>
    <col min="11" max="11" width="10.5703125" style="117" customWidth="1"/>
    <col min="12" max="16384" width="9.140625" style="117"/>
  </cols>
  <sheetData>
    <row r="1" spans="1:11" x14ac:dyDescent="0.2">
      <c r="I1" s="117" t="s">
        <v>150</v>
      </c>
    </row>
    <row r="2" spans="1:11" ht="48.75" customHeight="1" x14ac:dyDescent="0.35">
      <c r="A2" s="193" t="s">
        <v>162</v>
      </c>
      <c r="B2" s="193"/>
      <c r="C2" s="193"/>
      <c r="D2" s="193"/>
      <c r="E2" s="193"/>
      <c r="F2" s="193"/>
      <c r="G2" s="193"/>
      <c r="H2" s="193"/>
      <c r="I2" s="193"/>
    </row>
    <row r="3" spans="1:11" ht="20.25" x14ac:dyDescent="0.3">
      <c r="A3" s="181"/>
      <c r="B3" s="181"/>
      <c r="C3" s="181"/>
      <c r="D3" s="181"/>
      <c r="E3" s="181"/>
      <c r="F3" s="181"/>
      <c r="G3" s="181"/>
      <c r="H3" s="181"/>
      <c r="I3" s="181"/>
    </row>
    <row r="4" spans="1:11" ht="18.75" x14ac:dyDescent="0.3">
      <c r="A4" s="191"/>
      <c r="B4" s="191"/>
      <c r="C4" s="191"/>
      <c r="D4" s="191"/>
      <c r="E4" s="191"/>
      <c r="H4" s="116" t="s">
        <v>125</v>
      </c>
      <c r="I4" s="118">
        <v>8.8141300000000005</v>
      </c>
    </row>
    <row r="5" spans="1:11" ht="12.75" customHeight="1" x14ac:dyDescent="0.2">
      <c r="A5" s="183" t="s">
        <v>0</v>
      </c>
      <c r="B5" s="183" t="s">
        <v>5</v>
      </c>
      <c r="C5" s="183" t="s">
        <v>124</v>
      </c>
      <c r="D5" s="183" t="s">
        <v>102</v>
      </c>
      <c r="E5" s="183" t="s">
        <v>103</v>
      </c>
      <c r="F5" s="194" t="s">
        <v>101</v>
      </c>
      <c r="G5" s="183" t="s">
        <v>105</v>
      </c>
      <c r="H5" s="183" t="s">
        <v>104</v>
      </c>
      <c r="I5" s="183" t="s">
        <v>126</v>
      </c>
      <c r="J5" s="183" t="s">
        <v>166</v>
      </c>
      <c r="K5" s="192" t="s">
        <v>167</v>
      </c>
    </row>
    <row r="6" spans="1:11" ht="113.25" customHeight="1" x14ac:dyDescent="0.2">
      <c r="A6" s="184"/>
      <c r="B6" s="184"/>
      <c r="C6" s="184"/>
      <c r="D6" s="184"/>
      <c r="E6" s="184"/>
      <c r="F6" s="195"/>
      <c r="G6" s="184"/>
      <c r="H6" s="184"/>
      <c r="I6" s="184"/>
      <c r="J6" s="184"/>
      <c r="K6" s="192"/>
    </row>
    <row r="7" spans="1:11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3170.7</v>
      </c>
      <c r="H7" s="44"/>
      <c r="I7" s="129">
        <f>SUM(I8:I14)</f>
        <v>36982.607123934831</v>
      </c>
      <c r="J7" s="152">
        <f>SUM(J8:J14)</f>
        <v>36944.299999999996</v>
      </c>
      <c r="K7" s="152">
        <f>SUM(K8:K14)</f>
        <v>38.307123934833271</v>
      </c>
    </row>
    <row r="8" spans="1:11" ht="15.75" x14ac:dyDescent="0.25">
      <c r="A8" s="49">
        <v>1</v>
      </c>
      <c r="B8" s="95" t="s">
        <v>128</v>
      </c>
      <c r="C8" s="114">
        <f>ИБР!C11</f>
        <v>3791</v>
      </c>
      <c r="D8" s="125">
        <f>ИНП!AG16</f>
        <v>0.83154892777056022</v>
      </c>
      <c r="E8" s="125">
        <f>ИБР!S11</f>
        <v>0.27534880684240137</v>
      </c>
      <c r="F8" s="125">
        <f>D8/E8</f>
        <v>3.0199837700640755</v>
      </c>
      <c r="G8" s="128">
        <v>1805</v>
      </c>
      <c r="H8" s="126">
        <f>F8+G8/(ИНП!$D$4/$C$7*'Дотация 2021'!E8*'Дотация 2021'!C8)</f>
        <v>4.1859193315336389</v>
      </c>
      <c r="I8" s="130">
        <f>ИНП!$D$4/$C$7*('Дотация 2021'!$I$4-'Дотация 2021'!$H8)*'Дотация 2021'!$E8*'Дотация 2021'!$C8</f>
        <v>7164.9931030942817</v>
      </c>
      <c r="J8" s="152">
        <v>7153.4</v>
      </c>
      <c r="K8" s="152">
        <f>I8-J8</f>
        <v>11.593103094282014</v>
      </c>
    </row>
    <row r="9" spans="1:11" ht="15.75" x14ac:dyDescent="0.25">
      <c r="A9" s="49">
        <v>2</v>
      </c>
      <c r="B9" s="95" t="s">
        <v>129</v>
      </c>
      <c r="C9" s="114">
        <f>ИБР!C12</f>
        <v>505</v>
      </c>
      <c r="D9" s="125">
        <f>ИНП!AG17</f>
        <v>3.1156856012629523E-2</v>
      </c>
      <c r="E9" s="125">
        <f>ИБР!S12</f>
        <v>0.48936360807825319</v>
      </c>
      <c r="F9" s="125">
        <f t="shared" ref="F9:F14" si="0">D9/E9</f>
        <v>6.3668109966295836E-2</v>
      </c>
      <c r="G9" s="128">
        <v>94.8</v>
      </c>
      <c r="H9" s="126">
        <f>F9+G9/(ИНП!$D$4/$C$7*'Дотация 2021'!E9*'Дотация 2021'!C9)</f>
        <v>0.32232235795493669</v>
      </c>
      <c r="I9" s="130">
        <f>ИНП!$D$4/$C$7*('Дотация 2021'!$I$4-'Дотация 2021'!$H9)*'Дотация 2021'!$E9*'Дотация 2021'!$C9</f>
        <v>3112.3531537793483</v>
      </c>
      <c r="J9" s="152">
        <v>3109.6</v>
      </c>
      <c r="K9" s="152">
        <f t="shared" ref="K9:K14" si="1">I9-J9</f>
        <v>2.7531537793483949</v>
      </c>
    </row>
    <row r="10" spans="1:11" ht="15.75" x14ac:dyDescent="0.25">
      <c r="A10" s="49">
        <v>3</v>
      </c>
      <c r="B10" s="95" t="s">
        <v>130</v>
      </c>
      <c r="C10" s="114">
        <f>ИБР!C13</f>
        <v>953</v>
      </c>
      <c r="D10" s="125">
        <f>ИНП!AG18</f>
        <v>2.7480689154077035E-2</v>
      </c>
      <c r="E10" s="125">
        <f>ИБР!S13</f>
        <v>0.52142698152779876</v>
      </c>
      <c r="F10" s="125">
        <f t="shared" si="0"/>
        <v>5.2702852225939061E-2</v>
      </c>
      <c r="G10" s="128">
        <v>152.80000000000001</v>
      </c>
      <c r="H10" s="126">
        <f>F10+G10/(ИНП!$D$4/$C$7*'Дотация 2021'!E10*'Дотация 2021'!C10)</f>
        <v>0.26003721157182569</v>
      </c>
      <c r="I10" s="130">
        <f>ИНП!$D$4/$C$7*('Дотация 2021'!$I$4-'Дотация 2021'!$H10)*'Дотация 2021'!$E10*'Дотация 2021'!$C10</f>
        <v>6304.1426524549488</v>
      </c>
      <c r="J10" s="152">
        <v>6298.6</v>
      </c>
      <c r="K10" s="152">
        <f t="shared" si="1"/>
        <v>5.5426524549484384</v>
      </c>
    </row>
    <row r="11" spans="1:11" ht="15.75" x14ac:dyDescent="0.25">
      <c r="A11" s="49">
        <v>4</v>
      </c>
      <c r="B11" s="95" t="s">
        <v>131</v>
      </c>
      <c r="C11" s="114">
        <f>ИБР!C14</f>
        <v>878</v>
      </c>
      <c r="D11" s="125">
        <f>ИНП!AG19</f>
        <v>1.7237110308781681E-2</v>
      </c>
      <c r="E11" s="125">
        <f>ИБР!S14</f>
        <v>0.47684665581951846</v>
      </c>
      <c r="F11" s="125">
        <f t="shared" si="0"/>
        <v>3.6148120362001129E-2</v>
      </c>
      <c r="G11" s="128">
        <v>418.7</v>
      </c>
      <c r="H11" s="126">
        <f>F11+G11/(ИНП!$D$4/$C$7*'Дотация 2021'!E11*'Дотация 2021'!C11)</f>
        <v>0.71046499742631963</v>
      </c>
      <c r="I11" s="130">
        <f>ИНП!$D$4/$C$7*('Дотация 2021'!$I$4-'Дотация 2021'!$H11)*'Дотация 2021'!$E11*'Дотация 2021'!$C11</f>
        <v>5031.7657053895218</v>
      </c>
      <c r="J11" s="152">
        <v>5027.1000000000004</v>
      </c>
      <c r="K11" s="152">
        <f t="shared" si="1"/>
        <v>4.6657053895214631</v>
      </c>
    </row>
    <row r="12" spans="1:11" ht="15.75" x14ac:dyDescent="0.25">
      <c r="A12" s="49">
        <v>5</v>
      </c>
      <c r="B12" s="95" t="s">
        <v>132</v>
      </c>
      <c r="C12" s="114">
        <f>ИБР!C15</f>
        <v>925</v>
      </c>
      <c r="D12" s="125">
        <f>ИНП!AG20</f>
        <v>1.423113424464777E-2</v>
      </c>
      <c r="E12" s="125">
        <f>ИБР!S15</f>
        <v>0.61420342259893523</v>
      </c>
      <c r="F12" s="125">
        <f t="shared" si="0"/>
        <v>2.3170066660374942E-2</v>
      </c>
      <c r="G12" s="128">
        <v>517.70000000000005</v>
      </c>
      <c r="H12" s="126">
        <f>F12+G12/(ИНП!$D$4/$C$7*'Дотация 2021'!E12*'Дотация 2021'!C12)</f>
        <v>0.63758042068188248</v>
      </c>
      <c r="I12" s="130">
        <f>ИНП!$D$4/$C$7*('Дотация 2021'!$I$4-'Дотация 2021'!$H12)*'Дотация 2021'!$E12*'Дотация 2021'!$C12</f>
        <v>6889.5318731311836</v>
      </c>
      <c r="J12" s="152">
        <v>6883.2</v>
      </c>
      <c r="K12" s="152">
        <f t="shared" si="1"/>
        <v>6.3318731311837837</v>
      </c>
    </row>
    <row r="13" spans="1:11" ht="15.75" x14ac:dyDescent="0.25">
      <c r="A13" s="49">
        <v>6</v>
      </c>
      <c r="B13" s="95" t="s">
        <v>133</v>
      </c>
      <c r="C13" s="114">
        <f>ИБР!C16</f>
        <v>801</v>
      </c>
      <c r="D13" s="125">
        <f>ИНП!AG21</f>
        <v>3.525878509371614E-2</v>
      </c>
      <c r="E13" s="125">
        <f>ИБР!S16</f>
        <v>0.53877361577332206</v>
      </c>
      <c r="F13" s="125">
        <f t="shared" si="0"/>
        <v>6.5442672138107352E-2</v>
      </c>
      <c r="G13" s="128">
        <v>48.5</v>
      </c>
      <c r="H13" s="126">
        <f>F13+G13/(ИНП!$D$4/$C$7*'Дотация 2021'!E13*'Дотация 2021'!C13)</f>
        <v>0.14121964087986241</v>
      </c>
      <c r="I13" s="130">
        <f>ИНП!$D$4/$C$7*('Дотация 2021'!$I$4-'Дотация 2021'!$H13)*'Дотация 2021'!$E13*'Дотация 2021'!$C13</f>
        <v>5550.9762319846568</v>
      </c>
      <c r="J13" s="152">
        <v>5546.2</v>
      </c>
      <c r="K13" s="152">
        <f t="shared" si="1"/>
        <v>4.7762319846569881</v>
      </c>
    </row>
    <row r="14" spans="1:11" ht="15.75" x14ac:dyDescent="0.25">
      <c r="A14" s="49">
        <v>7</v>
      </c>
      <c r="B14" s="95" t="s">
        <v>134</v>
      </c>
      <c r="C14" s="114">
        <f>ИБР!C17</f>
        <v>494</v>
      </c>
      <c r="D14" s="125">
        <f>ИНП!AG22</f>
        <v>2.5713448550500097E-2</v>
      </c>
      <c r="E14" s="125">
        <f>ИБР!S17</f>
        <v>0.47709312462147568</v>
      </c>
      <c r="F14" s="125">
        <f t="shared" si="0"/>
        <v>5.3896078613375684E-2</v>
      </c>
      <c r="G14" s="128">
        <v>133.19999999999999</v>
      </c>
      <c r="H14" s="126">
        <f>F14+G14/(ИНП!$D$4/$C$7*'Дотация 2021'!E14*'Дотация 2021'!C14)</f>
        <v>0.43496931085192791</v>
      </c>
      <c r="I14" s="130">
        <f>ИНП!$D$4/$C$7*('Дотация 2021'!$I$4-'Дотация 2021'!$H14)*'Дотация 2021'!$E14*'Дотация 2021'!$C14</f>
        <v>2928.844404100892</v>
      </c>
      <c r="J14" s="152">
        <v>2926.2</v>
      </c>
      <c r="K14" s="152">
        <f t="shared" si="1"/>
        <v>2.6444041008921886</v>
      </c>
    </row>
  </sheetData>
  <mergeCells count="14"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13" sqref="I13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6384" width="9.140625" style="117"/>
  </cols>
  <sheetData>
    <row r="1" spans="1:9" x14ac:dyDescent="0.2">
      <c r="I1" s="117" t="s">
        <v>151</v>
      </c>
    </row>
    <row r="2" spans="1:9" ht="66.75" customHeight="1" x14ac:dyDescent="0.35">
      <c r="A2" s="193" t="s">
        <v>152</v>
      </c>
      <c r="B2" s="193"/>
      <c r="C2" s="193"/>
      <c r="D2" s="193"/>
      <c r="E2" s="193"/>
      <c r="F2" s="193"/>
      <c r="G2" s="193"/>
      <c r="H2" s="193"/>
      <c r="I2" s="193"/>
    </row>
    <row r="3" spans="1:9" ht="20.25" x14ac:dyDescent="0.3">
      <c r="A3" s="181"/>
      <c r="B3" s="181"/>
      <c r="C3" s="181"/>
      <c r="D3" s="181"/>
      <c r="E3" s="181"/>
      <c r="F3" s="181"/>
      <c r="G3" s="181"/>
      <c r="H3" s="181"/>
      <c r="I3" s="181"/>
    </row>
    <row r="4" spans="1:9" ht="18.75" x14ac:dyDescent="0.3">
      <c r="A4" s="191"/>
      <c r="B4" s="191"/>
      <c r="C4" s="191"/>
      <c r="D4" s="191"/>
      <c r="E4" s="191"/>
      <c r="H4" s="116" t="s">
        <v>125</v>
      </c>
      <c r="I4" s="118">
        <v>8.6677999999999997</v>
      </c>
    </row>
    <row r="5" spans="1:9" ht="12.75" customHeight="1" x14ac:dyDescent="0.2">
      <c r="A5" s="183" t="s">
        <v>0</v>
      </c>
      <c r="B5" s="183" t="s">
        <v>5</v>
      </c>
      <c r="C5" s="183" t="s">
        <v>124</v>
      </c>
      <c r="D5" s="183" t="s">
        <v>102</v>
      </c>
      <c r="E5" s="183" t="s">
        <v>103</v>
      </c>
      <c r="F5" s="194" t="s">
        <v>101</v>
      </c>
      <c r="G5" s="183" t="s">
        <v>105</v>
      </c>
      <c r="H5" s="183" t="s">
        <v>104</v>
      </c>
      <c r="I5" s="183" t="s">
        <v>126</v>
      </c>
    </row>
    <row r="6" spans="1:9" ht="113.25" customHeight="1" x14ac:dyDescent="0.2">
      <c r="A6" s="184"/>
      <c r="B6" s="184"/>
      <c r="C6" s="184"/>
      <c r="D6" s="184"/>
      <c r="E6" s="184"/>
      <c r="F6" s="195"/>
      <c r="G6" s="184"/>
      <c r="H6" s="184"/>
      <c r="I6" s="184"/>
    </row>
    <row r="7" spans="1:9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1070.5</v>
      </c>
      <c r="H7" s="44"/>
      <c r="I7" s="129">
        <f>SUM(I8:I14)</f>
        <v>38337.998362318714</v>
      </c>
    </row>
    <row r="8" spans="1:9" ht="15.75" x14ac:dyDescent="0.25">
      <c r="A8" s="49">
        <v>1</v>
      </c>
      <c r="B8" s="95" t="s">
        <v>128</v>
      </c>
      <c r="C8" s="114">
        <f>ИБР!C11</f>
        <v>3791</v>
      </c>
      <c r="D8" s="125">
        <f>ИНП!AH16</f>
        <v>0.83113056112344608</v>
      </c>
      <c r="E8" s="125">
        <f>ИБР!S11</f>
        <v>0.27534880684240137</v>
      </c>
      <c r="F8" s="125">
        <f>D8/E8</f>
        <v>3.0184643639990489</v>
      </c>
      <c r="G8" s="128">
        <v>0</v>
      </c>
      <c r="H8" s="126">
        <f>F8+G8/(ИНП!$D$4/$C$7*'Дотация 2022'!E8*'Дотация 2022'!C8)</f>
        <v>3.0184643639990489</v>
      </c>
      <c r="I8" s="130">
        <f>ИНП!$D$4/$C$7*('Дотация 2022'!$I$4-'Дотация 2022'!$H8)*'Дотация 2022'!$E8*'Дотация 2022'!$C8</f>
        <v>8745.8099400700921</v>
      </c>
    </row>
    <row r="9" spans="1:9" ht="15.75" x14ac:dyDescent="0.25">
      <c r="A9" s="49">
        <v>2</v>
      </c>
      <c r="B9" s="95" t="s">
        <v>129</v>
      </c>
      <c r="C9" s="114">
        <f>ИБР!C12</f>
        <v>505</v>
      </c>
      <c r="D9" s="125">
        <f>ИНП!AH17</f>
        <v>3.1171833407684389E-2</v>
      </c>
      <c r="E9" s="125">
        <f>ИБР!S12</f>
        <v>0.48936360807825319</v>
      </c>
      <c r="F9" s="125">
        <f t="shared" ref="F9:F14" si="0">D9/E9</f>
        <v>6.369871582829216E-2</v>
      </c>
      <c r="G9" s="128">
        <v>40.200000000000003</v>
      </c>
      <c r="H9" s="126">
        <f>F9+G9/(ИНП!$D$4/$C$7*'Дотация 2022'!E9*'Дотация 2022'!C9)</f>
        <v>0.17338121339309556</v>
      </c>
      <c r="I9" s="130">
        <f>ИНП!$D$4/$C$7*('Дотация 2022'!$I$4-'Дотация 2022'!$H9)*'Дотация 2022'!$E9*'Дотация 2022'!$C9</f>
        <v>3113.3101707484775</v>
      </c>
    </row>
    <row r="10" spans="1:9" ht="15.75" x14ac:dyDescent="0.25">
      <c r="A10" s="49">
        <v>3</v>
      </c>
      <c r="B10" s="95" t="s">
        <v>130</v>
      </c>
      <c r="C10" s="114">
        <f>ИБР!C13</f>
        <v>953</v>
      </c>
      <c r="D10" s="125">
        <f>ИНП!AH18</f>
        <v>2.7542842185883803E-2</v>
      </c>
      <c r="E10" s="125">
        <f>ИБР!S13</f>
        <v>0.52142698152779876</v>
      </c>
      <c r="F10" s="125">
        <f t="shared" si="0"/>
        <v>5.2822050184634366E-2</v>
      </c>
      <c r="G10" s="128">
        <v>55.3</v>
      </c>
      <c r="H10" s="126">
        <f>F10+G10/(ИНП!$D$4/$C$7*'Дотация 2022'!E10*'Дотация 2022'!C10)</f>
        <v>0.12785863442434334</v>
      </c>
      <c r="I10" s="130">
        <f>ИНП!$D$4/$C$7*('Дотация 2022'!$I$4-'Дотация 2022'!$H10)*'Дотация 2022'!$E10*'Дотация 2022'!$C10</f>
        <v>6293.7134239436373</v>
      </c>
    </row>
    <row r="11" spans="1:9" ht="15.75" x14ac:dyDescent="0.25">
      <c r="A11" s="49">
        <v>4</v>
      </c>
      <c r="B11" s="95" t="s">
        <v>131</v>
      </c>
      <c r="C11" s="114">
        <f>ИБР!C14</f>
        <v>878</v>
      </c>
      <c r="D11" s="125">
        <f>ИНП!AH19</f>
        <v>1.7240871096534747E-2</v>
      </c>
      <c r="E11" s="125">
        <f>ИБР!S14</f>
        <v>0.47684665581951846</v>
      </c>
      <c r="F11" s="125">
        <f t="shared" si="0"/>
        <v>3.6156007148470469E-2</v>
      </c>
      <c r="G11" s="128">
        <v>361.7</v>
      </c>
      <c r="H11" s="126">
        <f>F11+G11/(ИНП!$D$4/$C$7*'Дотация 2022'!E11*'Дотация 2022'!C11)</f>
        <v>0.61867431246054116</v>
      </c>
      <c r="I11" s="130">
        <f>ИНП!$D$4/$C$7*('Дотация 2022'!$I$4-'Дотация 2022'!$H11)*'Дотация 2022'!$E11*'Дотация 2022'!$C11</f>
        <v>4997.9008979354276</v>
      </c>
    </row>
    <row r="12" spans="1:9" ht="15.75" x14ac:dyDescent="0.25">
      <c r="A12" s="49">
        <v>5</v>
      </c>
      <c r="B12" s="95" t="s">
        <v>132</v>
      </c>
      <c r="C12" s="114">
        <f>ИБР!C15</f>
        <v>925</v>
      </c>
      <c r="D12" s="125">
        <f>ИНП!AH20</f>
        <v>1.4224089734233095E-2</v>
      </c>
      <c r="E12" s="125">
        <f>ИБР!S15</f>
        <v>0.61420342259893523</v>
      </c>
      <c r="F12" s="125">
        <f t="shared" si="0"/>
        <v>2.3158597316252978E-2</v>
      </c>
      <c r="G12" s="128">
        <v>502.6</v>
      </c>
      <c r="H12" s="126">
        <f>F12+G12/(ИНП!$D$4/$C$7*'Дотация 2022'!E12*'Дотация 2022'!C12)</f>
        <v>0.619648154842252</v>
      </c>
      <c r="I12" s="130">
        <f>ИНП!$D$4/$C$7*('Дотация 2022'!$I$4-'Дотация 2022'!$H12)*'Дотация 2022'!$E12*'Дотация 2022'!$C12</f>
        <v>6781.3443946166253</v>
      </c>
    </row>
    <row r="13" spans="1:9" ht="15.75" x14ac:dyDescent="0.25">
      <c r="A13" s="49">
        <v>6</v>
      </c>
      <c r="B13" s="95" t="s">
        <v>133</v>
      </c>
      <c r="C13" s="114">
        <f>ИБР!C16</f>
        <v>801</v>
      </c>
      <c r="D13" s="125">
        <f>ИНП!AH21</f>
        <v>3.5320059401931572E-2</v>
      </c>
      <c r="E13" s="125">
        <f>ИБР!S16</f>
        <v>0.53877361577332206</v>
      </c>
      <c r="F13" s="125">
        <f t="shared" si="0"/>
        <v>6.5556401367641889E-2</v>
      </c>
      <c r="G13" s="128">
        <v>21.2</v>
      </c>
      <c r="H13" s="126">
        <f>F13+G13/(ИНП!$D$4/$C$7*'Дотация 2022'!E13*'Дотация 2022'!C13)</f>
        <v>9.8679529972285338E-2</v>
      </c>
      <c r="I13" s="153">
        <f>ИНП!$D$4/$C$7*('Дотация 2022'!$I$4-'Дотация 2022'!$H13)*'Дотация 2022'!$E13*'Дотация 2022'!$C13</f>
        <v>5484.5469500462677</v>
      </c>
    </row>
    <row r="14" spans="1:9" ht="15.75" x14ac:dyDescent="0.25">
      <c r="A14" s="49">
        <v>7</v>
      </c>
      <c r="B14" s="95" t="s">
        <v>134</v>
      </c>
      <c r="C14" s="114">
        <f>ИБР!C17</f>
        <v>494</v>
      </c>
      <c r="D14" s="125">
        <f>ИНП!AH22</f>
        <v>2.5745879851945225E-2</v>
      </c>
      <c r="E14" s="125">
        <f>ИБР!S17</f>
        <v>0.47709312462147568</v>
      </c>
      <c r="F14" s="125">
        <f t="shared" si="0"/>
        <v>5.3964055492042425E-2</v>
      </c>
      <c r="G14" s="128">
        <v>89.5</v>
      </c>
      <c r="H14" s="126">
        <f>F14+G14/(ИНП!$D$4/$C$7*'Дотация 2022'!E14*'Дотация 2022'!C14)</f>
        <v>0.31001551409076933</v>
      </c>
      <c r="I14" s="130">
        <f>ИНП!$D$4/$C$7*('Дотация 2022'!$I$4-'Дотация 2022'!$H14)*'Дотация 2022'!$E14*'Дотация 2022'!$C14</f>
        <v>2921.3725849581833</v>
      </c>
    </row>
  </sheetData>
  <mergeCells count="12"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C32" sqref="B32:C32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6384" width="9.140625" style="117"/>
  </cols>
  <sheetData>
    <row r="1" spans="1:9" x14ac:dyDescent="0.2">
      <c r="I1" s="117" t="s">
        <v>155</v>
      </c>
    </row>
    <row r="2" spans="1:9" ht="65.25" customHeight="1" x14ac:dyDescent="0.35">
      <c r="A2" s="193" t="s">
        <v>163</v>
      </c>
      <c r="B2" s="193"/>
      <c r="C2" s="193"/>
      <c r="D2" s="193"/>
      <c r="E2" s="193"/>
      <c r="F2" s="193"/>
      <c r="G2" s="193"/>
      <c r="H2" s="193"/>
      <c r="I2" s="193"/>
    </row>
    <row r="3" spans="1:9" ht="20.25" x14ac:dyDescent="0.3">
      <c r="A3" s="181"/>
      <c r="B3" s="181"/>
      <c r="C3" s="181"/>
      <c r="D3" s="181"/>
      <c r="E3" s="181"/>
      <c r="F3" s="181"/>
      <c r="G3" s="181"/>
      <c r="H3" s="181"/>
      <c r="I3" s="181"/>
    </row>
    <row r="4" spans="1:9" ht="18.75" x14ac:dyDescent="0.3">
      <c r="A4" s="191"/>
      <c r="B4" s="191"/>
      <c r="C4" s="191"/>
      <c r="D4" s="191"/>
      <c r="E4" s="191"/>
      <c r="H4" s="116" t="s">
        <v>125</v>
      </c>
      <c r="I4" s="118">
        <v>8.2662800000000001</v>
      </c>
    </row>
    <row r="5" spans="1:9" ht="12.75" customHeight="1" x14ac:dyDescent="0.2">
      <c r="A5" s="183" t="s">
        <v>0</v>
      </c>
      <c r="B5" s="183" t="s">
        <v>5</v>
      </c>
      <c r="C5" s="183" t="s">
        <v>124</v>
      </c>
      <c r="D5" s="183" t="s">
        <v>102</v>
      </c>
      <c r="E5" s="183" t="s">
        <v>103</v>
      </c>
      <c r="F5" s="194" t="s">
        <v>101</v>
      </c>
      <c r="G5" s="183" t="s">
        <v>105</v>
      </c>
      <c r="H5" s="183" t="s">
        <v>104</v>
      </c>
      <c r="I5" s="183" t="s">
        <v>126</v>
      </c>
    </row>
    <row r="6" spans="1:9" ht="113.25" customHeight="1" x14ac:dyDescent="0.2">
      <c r="A6" s="184"/>
      <c r="B6" s="184"/>
      <c r="C6" s="184"/>
      <c r="D6" s="184"/>
      <c r="E6" s="184"/>
      <c r="F6" s="195"/>
      <c r="G6" s="184"/>
      <c r="H6" s="184"/>
      <c r="I6" s="184"/>
    </row>
    <row r="7" spans="1:9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1099.7</v>
      </c>
      <c r="H7" s="44"/>
      <c r="I7" s="129">
        <f>SUM(I8:I14)</f>
        <v>36259.517560885062</v>
      </c>
    </row>
    <row r="8" spans="1:9" ht="15.75" x14ac:dyDescent="0.25">
      <c r="A8" s="49">
        <v>1</v>
      </c>
      <c r="B8" s="95" t="s">
        <v>128</v>
      </c>
      <c r="C8" s="114">
        <f>ИБР!C11</f>
        <v>3791</v>
      </c>
      <c r="D8" s="125">
        <f>ИНП!AI16</f>
        <v>0.83106149157060316</v>
      </c>
      <c r="E8" s="125">
        <f>ИБР!S11</f>
        <v>0.27534880684240137</v>
      </c>
      <c r="F8" s="125">
        <f>D8/E8</f>
        <v>3.0182135201561615</v>
      </c>
      <c r="G8" s="128">
        <v>0</v>
      </c>
      <c r="H8" s="126">
        <f>F8+G8/(ИНП!$D$4/$C$7*'Дотация 2023'!E8*'Дотация 2023'!C8)</f>
        <v>3.0182135201561615</v>
      </c>
      <c r="I8" s="130">
        <f>ИНП!$D$4/$C$7*('Дотация 2023'!$I$4-'Дотация 2023'!$H8)*'Дотация 2023'!$E8*'Дотация 2023'!$C8</f>
        <v>8124.5999428806435</v>
      </c>
    </row>
    <row r="9" spans="1:9" ht="15.75" x14ac:dyDescent="0.25">
      <c r="A9" s="49">
        <v>2</v>
      </c>
      <c r="B9" s="95" t="s">
        <v>129</v>
      </c>
      <c r="C9" s="114">
        <f>ИБР!C12</f>
        <v>505</v>
      </c>
      <c r="D9" s="125">
        <f>ИНП!AI17</f>
        <v>3.1171627925596131E-2</v>
      </c>
      <c r="E9" s="125">
        <f>ИБР!S12</f>
        <v>0.48936360807825319</v>
      </c>
      <c r="F9" s="125">
        <f t="shared" ref="F9:F14" si="0">D9/E9</f>
        <v>6.3698295931747209E-2</v>
      </c>
      <c r="G9" s="128">
        <v>47.8</v>
      </c>
      <c r="H9" s="126">
        <f>F9+G9/(ИНП!$D$4/$C$7*'Дотация 2023'!E9*'Дотация 2023'!C9)</f>
        <v>0.19411678806104077</v>
      </c>
      <c r="I9" s="153">
        <f>ИНП!$D$4/$C$7*('Дотация 2023'!$I$4-'Дотация 2023'!$H9)*'Дотация 2023'!$E9*'Дотация 2023'!$C9</f>
        <v>2958.5482490332806</v>
      </c>
    </row>
    <row r="10" spans="1:9" ht="15.75" x14ac:dyDescent="0.25">
      <c r="A10" s="49">
        <v>3</v>
      </c>
      <c r="B10" s="95" t="s">
        <v>130</v>
      </c>
      <c r="C10" s="114">
        <f>ИБР!C13</f>
        <v>953</v>
      </c>
      <c r="D10" s="125">
        <f>ИНП!AI18</f>
        <v>2.7554742288104565E-2</v>
      </c>
      <c r="E10" s="125">
        <f>ИБР!S13</f>
        <v>0.52142698152779876</v>
      </c>
      <c r="F10" s="125">
        <f t="shared" si="0"/>
        <v>5.2844872368070089E-2</v>
      </c>
      <c r="G10" s="128">
        <v>76.8</v>
      </c>
      <c r="H10" s="126">
        <f>F10+G10/(ИНП!$D$4/$C$7*'Дотация 2023'!E10*'Дотация 2023'!C10)</f>
        <v>0.1570548121440131</v>
      </c>
      <c r="I10" s="130">
        <f>ИНП!$D$4/$C$7*('Дотация 2023'!$I$4-'Дотация 2023'!$H10)*'Дотация 2023'!$E10*'Дотация 2023'!$C10</f>
        <v>5976.2868663619684</v>
      </c>
    </row>
    <row r="11" spans="1:9" ht="15.75" x14ac:dyDescent="0.25">
      <c r="A11" s="49">
        <v>4</v>
      </c>
      <c r="B11" s="95" t="s">
        <v>131</v>
      </c>
      <c r="C11" s="114">
        <f>ИБР!C14</f>
        <v>878</v>
      </c>
      <c r="D11" s="125">
        <f>ИНП!AI19</f>
        <v>1.7240844910624394E-2</v>
      </c>
      <c r="E11" s="125">
        <f>ИБР!S14</f>
        <v>0.47684665581951846</v>
      </c>
      <c r="F11" s="125">
        <f t="shared" si="0"/>
        <v>3.6155952233729992E-2</v>
      </c>
      <c r="G11" s="128">
        <v>384.1</v>
      </c>
      <c r="H11" s="126">
        <f>F11+G11/(ИНП!$D$4/$C$7*'Дотация 2023'!E11*'Дотация 2023'!C11)</f>
        <v>0.65474948574317537</v>
      </c>
      <c r="I11" s="130">
        <f>ИНП!$D$4/$C$7*('Дотация 2023'!$I$4-'Дотация 2023'!$H11)*'Дотация 2023'!$E11*'Дотация 2023'!$C11</f>
        <v>4726.18724922608</v>
      </c>
    </row>
    <row r="12" spans="1:9" ht="15.75" x14ac:dyDescent="0.25">
      <c r="A12" s="49">
        <v>5</v>
      </c>
      <c r="B12" s="95" t="s">
        <v>132</v>
      </c>
      <c r="C12" s="114">
        <f>ИБР!C15</f>
        <v>925</v>
      </c>
      <c r="D12" s="125">
        <f>ИНП!AI20</f>
        <v>1.422277635801557E-2</v>
      </c>
      <c r="E12" s="125">
        <f>ИБР!S15</f>
        <v>0.61420342259893523</v>
      </c>
      <c r="F12" s="125">
        <f t="shared" si="0"/>
        <v>2.3156458975486384E-2</v>
      </c>
      <c r="G12" s="128">
        <v>493.7</v>
      </c>
      <c r="H12" s="126">
        <f>F12+G12/(ИНП!$D$4/$C$7*'Дотация 2023'!E12*'Дотация 2023'!C12)</f>
        <v>0.60908342783856961</v>
      </c>
      <c r="I12" s="130">
        <f>ИНП!$D$4/$C$7*('Дотация 2023'!$I$4-'Дотация 2023'!$H12)*'Дотация 2023'!$E12*'Дотация 2023'!$C12</f>
        <v>6451.9268587540882</v>
      </c>
    </row>
    <row r="13" spans="1:9" ht="15.75" x14ac:dyDescent="0.25">
      <c r="A13" s="49">
        <v>6</v>
      </c>
      <c r="B13" s="95" t="s">
        <v>133</v>
      </c>
      <c r="C13" s="114">
        <f>ИБР!C16</f>
        <v>801</v>
      </c>
      <c r="D13" s="125">
        <f>ИНП!AI21</f>
        <v>3.5330278795823997E-2</v>
      </c>
      <c r="E13" s="125">
        <f>ИБР!S16</f>
        <v>0.53877361577332206</v>
      </c>
      <c r="F13" s="125">
        <f t="shared" si="0"/>
        <v>6.5575369248757884E-2</v>
      </c>
      <c r="G13" s="128">
        <v>0</v>
      </c>
      <c r="H13" s="126">
        <f>F13+G13/(ИНП!$D$4/$C$7*'Дотация 2023'!E13*'Дотация 2023'!C13)</f>
        <v>6.5575369248757884E-2</v>
      </c>
      <c r="I13" s="130">
        <f>ИНП!$D$4/$C$7*('Дотация 2023'!$I$4-'Дотация 2023'!$H13)*'Дотация 2023'!$E13*'Дотация 2023'!$C13</f>
        <v>5248.7474914297209</v>
      </c>
    </row>
    <row r="14" spans="1:9" ht="15.75" x14ac:dyDescent="0.25">
      <c r="A14" s="49">
        <v>7</v>
      </c>
      <c r="B14" s="95" t="s">
        <v>134</v>
      </c>
      <c r="C14" s="114">
        <f>ИБР!C17</f>
        <v>494</v>
      </c>
      <c r="D14" s="125">
        <f>ИНП!AI22</f>
        <v>2.5752345029640831E-2</v>
      </c>
      <c r="E14" s="125">
        <f>ИБР!S17</f>
        <v>0.47709312462147568</v>
      </c>
      <c r="F14" s="125">
        <f t="shared" si="0"/>
        <v>5.3977606678093856E-2</v>
      </c>
      <c r="G14" s="128">
        <v>97.3</v>
      </c>
      <c r="H14" s="126">
        <f>F14+G14/(ИНП!$D$4/$C$7*'Дотация 2023'!E14*'Дотация 2023'!C14)</f>
        <v>0.33234416446196124</v>
      </c>
      <c r="I14" s="130">
        <f>ИНП!$D$4/$C$7*('Дотация 2023'!$I$4-'Дотация 2023'!$H14)*'Дотация 2023'!$E14*'Дотация 2023'!$C14</f>
        <v>2773.2209031992802</v>
      </c>
    </row>
  </sheetData>
  <mergeCells count="12"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workbookViewId="0">
      <selection activeCell="E23" sqref="E23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156</v>
      </c>
    </row>
    <row r="2" spans="1:7" ht="110.25" customHeight="1" x14ac:dyDescent="0.2">
      <c r="A2" s="133"/>
      <c r="B2" s="196" t="s">
        <v>164</v>
      </c>
      <c r="C2" s="196"/>
      <c r="D2" s="196"/>
      <c r="E2" s="196"/>
      <c r="F2" s="196"/>
      <c r="G2" s="196"/>
    </row>
    <row r="3" spans="1:7" ht="22.5" customHeight="1" x14ac:dyDescent="0.2">
      <c r="A3" s="133"/>
      <c r="B3" s="136"/>
      <c r="C3" s="136"/>
      <c r="D3" s="136"/>
      <c r="E3" s="136"/>
      <c r="F3" s="136"/>
      <c r="G3" s="136" t="s">
        <v>142</v>
      </c>
    </row>
    <row r="4" spans="1:7" ht="99.75" customHeight="1" x14ac:dyDescent="0.2">
      <c r="B4" s="137" t="s">
        <v>135</v>
      </c>
      <c r="C4" s="138" t="s">
        <v>165</v>
      </c>
      <c r="D4" s="138" t="s">
        <v>136</v>
      </c>
      <c r="E4" s="139" t="s">
        <v>137</v>
      </c>
      <c r="F4" s="139" t="s">
        <v>140</v>
      </c>
      <c r="G4" s="140" t="s">
        <v>141</v>
      </c>
    </row>
    <row r="5" spans="1:7" ht="15" x14ac:dyDescent="0.2">
      <c r="B5" s="141">
        <v>1</v>
      </c>
      <c r="C5" s="141">
        <v>2</v>
      </c>
      <c r="D5" s="141" t="s">
        <v>138</v>
      </c>
      <c r="E5" s="141">
        <v>4</v>
      </c>
      <c r="F5" s="141">
        <v>5</v>
      </c>
      <c r="G5" s="141">
        <v>6</v>
      </c>
    </row>
    <row r="6" spans="1:7" ht="15.75" x14ac:dyDescent="0.2">
      <c r="B6" s="121" t="s">
        <v>128</v>
      </c>
      <c r="C6" s="142">
        <v>361.02100000000002</v>
      </c>
      <c r="D6" s="143">
        <f>C6/C13</f>
        <v>0.69208708671289254</v>
      </c>
      <c r="E6" s="143">
        <f>D6</f>
        <v>0.69208708671289254</v>
      </c>
      <c r="F6" s="142">
        <v>0.8</v>
      </c>
      <c r="G6" s="143">
        <f t="shared" ref="G6:G12" si="0">E6*F6</f>
        <v>0.55366966937031403</v>
      </c>
    </row>
    <row r="7" spans="1:7" ht="15.75" x14ac:dyDescent="0.2">
      <c r="B7" s="122" t="s">
        <v>129</v>
      </c>
      <c r="C7" s="144">
        <v>27.48</v>
      </c>
      <c r="D7" s="145">
        <f>C7/C13</f>
        <v>5.267990821273634E-2</v>
      </c>
      <c r="E7" s="145">
        <f t="shared" ref="E7:E12" si="1">D7</f>
        <v>5.267990821273634E-2</v>
      </c>
      <c r="F7" s="144">
        <v>0.8</v>
      </c>
      <c r="G7" s="145">
        <f t="shared" si="0"/>
        <v>4.2143926570189075E-2</v>
      </c>
    </row>
    <row r="8" spans="1:7" ht="15.75" x14ac:dyDescent="0.2">
      <c r="B8" s="121" t="s">
        <v>130</v>
      </c>
      <c r="C8" s="142">
        <v>28.96</v>
      </c>
      <c r="D8" s="143">
        <f>C8/C13</f>
        <v>5.5517108509492152E-2</v>
      </c>
      <c r="E8" s="143">
        <f t="shared" si="1"/>
        <v>5.5517108509492152E-2</v>
      </c>
      <c r="F8" s="142">
        <v>0.8</v>
      </c>
      <c r="G8" s="143">
        <f t="shared" si="0"/>
        <v>4.4413686807593722E-2</v>
      </c>
    </row>
    <row r="9" spans="1:7" ht="15.75" x14ac:dyDescent="0.2">
      <c r="B9" s="122" t="s">
        <v>131</v>
      </c>
      <c r="C9" s="144">
        <v>24.36</v>
      </c>
      <c r="D9" s="145">
        <f>C9/C13</f>
        <v>4.6698783262818677E-2</v>
      </c>
      <c r="E9" s="145">
        <f t="shared" si="1"/>
        <v>4.6698783262818677E-2</v>
      </c>
      <c r="F9" s="144">
        <v>0.8</v>
      </c>
      <c r="G9" s="145">
        <f t="shared" si="0"/>
        <v>3.735902661025494E-2</v>
      </c>
    </row>
    <row r="10" spans="1:7" ht="15.75" x14ac:dyDescent="0.2">
      <c r="B10" s="121" t="s">
        <v>132</v>
      </c>
      <c r="C10" s="142">
        <v>23.51</v>
      </c>
      <c r="D10" s="143">
        <f>C10/C13</f>
        <v>4.5069310119411621E-2</v>
      </c>
      <c r="E10" s="143">
        <f t="shared" si="1"/>
        <v>4.5069310119411621E-2</v>
      </c>
      <c r="F10" s="142">
        <v>0.8</v>
      </c>
      <c r="G10" s="143">
        <f t="shared" si="0"/>
        <v>3.6055448095529297E-2</v>
      </c>
    </row>
    <row r="11" spans="1:7" ht="15.75" x14ac:dyDescent="0.2">
      <c r="B11" s="122" t="s">
        <v>133</v>
      </c>
      <c r="C11" s="144">
        <v>31.18</v>
      </c>
      <c r="D11" s="145">
        <f>C11/C13</f>
        <v>5.9772908954625871E-2</v>
      </c>
      <c r="E11" s="145">
        <f t="shared" si="1"/>
        <v>5.9772908954625871E-2</v>
      </c>
      <c r="F11" s="144">
        <v>0.8</v>
      </c>
      <c r="G11" s="145">
        <f t="shared" si="0"/>
        <v>4.78183271637007E-2</v>
      </c>
    </row>
    <row r="12" spans="1:7" ht="15.75" x14ac:dyDescent="0.2">
      <c r="B12" s="121" t="s">
        <v>134</v>
      </c>
      <c r="C12" s="142">
        <v>25.13</v>
      </c>
      <c r="D12" s="143">
        <f>C12/C13</f>
        <v>4.8174894228022715E-2</v>
      </c>
      <c r="E12" s="143">
        <f t="shared" si="1"/>
        <v>4.8174894228022715E-2</v>
      </c>
      <c r="F12" s="142">
        <v>0.8</v>
      </c>
      <c r="G12" s="143">
        <f t="shared" si="0"/>
        <v>3.8539915382418174E-2</v>
      </c>
    </row>
    <row r="13" spans="1:7" ht="31.5" x14ac:dyDescent="0.2">
      <c r="B13" s="123" t="s">
        <v>139</v>
      </c>
      <c r="C13" s="146">
        <f t="shared" ref="C13:D13" si="2">SUM(C6:C12)</f>
        <v>521.64100000000008</v>
      </c>
      <c r="D13" s="147">
        <f t="shared" si="2"/>
        <v>1</v>
      </c>
      <c r="E13" s="148">
        <f>D13</f>
        <v>1</v>
      </c>
      <c r="F13" s="146"/>
      <c r="G13" s="149">
        <f>SUM(G6:G12)</f>
        <v>0.79999999999999993</v>
      </c>
    </row>
    <row r="14" spans="1:7" ht="15" x14ac:dyDescent="0.2">
      <c r="B14" s="150"/>
      <c r="C14" s="150"/>
      <c r="D14" s="150"/>
      <c r="E14" s="151"/>
      <c r="F14" s="150"/>
      <c r="G14" s="150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13" ht="30.75" x14ac:dyDescent="0.5">
      <c r="A2" s="197" t="s">
        <v>44</v>
      </c>
      <c r="B2" s="197"/>
      <c r="C2" s="197"/>
      <c r="D2" s="197"/>
      <c r="E2" s="197"/>
      <c r="F2" s="197"/>
      <c r="G2" s="197"/>
      <c r="H2" s="197"/>
    </row>
    <row r="3" spans="1:13" ht="20.25" x14ac:dyDescent="0.3">
      <c r="A3" s="198" t="s">
        <v>4</v>
      </c>
      <c r="B3" s="198"/>
      <c r="C3" s="198"/>
      <c r="D3" s="198"/>
      <c r="E3" s="198"/>
      <c r="F3" s="198"/>
      <c r="G3" s="198"/>
      <c r="H3" s="198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1" t="s">
        <v>43</v>
      </c>
      <c r="D5" s="191"/>
      <c r="E5" s="191"/>
      <c r="F5" s="191"/>
      <c r="G5" s="191"/>
      <c r="H5" s="191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13" ht="30.75" x14ac:dyDescent="0.5">
      <c r="A2" s="197" t="s">
        <v>44</v>
      </c>
      <c r="B2" s="197"/>
      <c r="C2" s="197"/>
      <c r="D2" s="197"/>
      <c r="E2" s="197"/>
      <c r="F2" s="197"/>
      <c r="G2" s="197"/>
      <c r="H2" s="197"/>
    </row>
    <row r="3" spans="1:13" ht="20.25" x14ac:dyDescent="0.3">
      <c r="A3" s="198" t="s">
        <v>4</v>
      </c>
      <c r="B3" s="198"/>
      <c r="C3" s="198"/>
      <c r="D3" s="198"/>
      <c r="E3" s="198"/>
      <c r="F3" s="198"/>
      <c r="G3" s="198"/>
      <c r="H3" s="198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191" t="s">
        <v>43</v>
      </c>
      <c r="D5" s="191"/>
      <c r="E5" s="191"/>
      <c r="F5" s="191"/>
      <c r="G5" s="191"/>
      <c r="H5" s="191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197" t="s">
        <v>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23" ht="30.75" x14ac:dyDescent="0.5">
      <c r="A2" s="197" t="s">
        <v>44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23" ht="20.25" x14ac:dyDescent="0.3">
      <c r="A3" s="198" t="s">
        <v>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23" s="11" customFormat="1" ht="19.5" thickBot="1" x14ac:dyDescent="0.35">
      <c r="A4" s="191" t="s">
        <v>43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83" t="s">
        <v>0</v>
      </c>
      <c r="B7" s="183" t="s">
        <v>5</v>
      </c>
      <c r="C7" s="183" t="s">
        <v>3</v>
      </c>
      <c r="D7" s="183" t="s">
        <v>85</v>
      </c>
      <c r="E7" s="183" t="s">
        <v>86</v>
      </c>
      <c r="F7" s="183" t="s">
        <v>88</v>
      </c>
      <c r="G7" s="183" t="s">
        <v>87</v>
      </c>
      <c r="H7" s="199" t="s">
        <v>79</v>
      </c>
      <c r="I7" s="199"/>
      <c r="J7" s="199"/>
      <c r="K7" s="199"/>
      <c r="L7" s="188" t="s">
        <v>84</v>
      </c>
      <c r="M7" s="189"/>
      <c r="N7" s="189"/>
      <c r="O7" s="190"/>
      <c r="P7" s="200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184"/>
      <c r="B8" s="184"/>
      <c r="C8" s="184"/>
      <c r="D8" s="184"/>
      <c r="E8" s="184"/>
      <c r="F8" s="184"/>
      <c r="G8" s="184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01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ИНП</vt:lpstr>
      <vt:lpstr>ИБР</vt:lpstr>
      <vt:lpstr>Дотация 2021</vt:lpstr>
      <vt:lpstr>Дотация 2022</vt:lpstr>
      <vt:lpstr>Дотация 2023</vt:lpstr>
      <vt:lpstr>прил расчет К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ПК</cp:lastModifiedBy>
  <cp:lastPrinted>2021-04-05T06:55:52Z</cp:lastPrinted>
  <dcterms:created xsi:type="dcterms:W3CDTF">2009-04-29T07:26:33Z</dcterms:created>
  <dcterms:modified xsi:type="dcterms:W3CDTF">2021-04-05T06:55:54Z</dcterms:modified>
</cp:coreProperties>
</file>